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Denne_projektmappe"/>
  <mc:AlternateContent xmlns:mc="http://schemas.openxmlformats.org/markup-compatibility/2006">
    <mc:Choice Requires="x15">
      <x15ac:absPath xmlns:x15ac="http://schemas.microsoft.com/office/spreadsheetml/2010/11/ac" url="D:\Elting\Produkt\Turnering\"/>
    </mc:Choice>
  </mc:AlternateContent>
  <xr:revisionPtr revIDLastSave="0" documentId="13_ncr:1_{F11FDE97-CB21-4218-9857-BF56FCF83883}" xr6:coauthVersionLast="45" xr6:coauthVersionMax="45" xr10:uidLastSave="{00000000-0000-0000-0000-000000000000}"/>
  <bookViews>
    <workbookView xWindow="-108" yWindow="-108" windowWidth="30936" windowHeight="16896" tabRatio="728" xr2:uid="{00000000-000D-0000-FFFF-FFFF00000000}"/>
  </bookViews>
  <sheets>
    <sheet name="Tips" sheetId="4" r:id="rId1"/>
    <sheet name="Indstillinger" sheetId="13" r:id="rId2"/>
    <sheet name="Licens" sheetId="35" r:id="rId3"/>
    <sheet name="03x2" sheetId="51" r:id="rId4"/>
    <sheet name="04x1" sheetId="45" r:id="rId5"/>
    <sheet name="04x2" sheetId="46" r:id="rId6"/>
    <sheet name="04x3" sheetId="47" r:id="rId7"/>
    <sheet name="04x4" sheetId="49" r:id="rId8"/>
    <sheet name="05x1" sheetId="53" r:id="rId9"/>
    <sheet name="05x2" sheetId="52" r:id="rId10"/>
    <sheet name="06x1" sheetId="27" r:id="rId11"/>
    <sheet name="06x2" sheetId="26" r:id="rId12"/>
    <sheet name="07x1" sheetId="21" r:id="rId13"/>
    <sheet name="07x2" sheetId="10" r:id="rId14"/>
    <sheet name="08x1" sheetId="28" r:id="rId15"/>
    <sheet name="08x2" sheetId="11" r:id="rId16"/>
    <sheet name="09x1" sheetId="42" r:id="rId17"/>
    <sheet name="09x2" sheetId="36" r:id="rId18"/>
    <sheet name="10x1" sheetId="29" r:id="rId19"/>
    <sheet name="10x2" sheetId="12" r:id="rId20"/>
  </sheets>
  <definedNames>
    <definedName name="actRank" localSheetId="3">'03x2'!$M$3:$M$5</definedName>
    <definedName name="actRank" localSheetId="4">'04x1'!$M$3:$M$6</definedName>
    <definedName name="actRank" localSheetId="5">'04x2'!$M$3:$M$6</definedName>
    <definedName name="actRank" localSheetId="6">'04x3'!$M$3:$M$6</definedName>
    <definedName name="actRank" localSheetId="7">'04x4'!$M$3:$M$6</definedName>
    <definedName name="actRank" localSheetId="8">'05x1'!$M$3:$M$7</definedName>
    <definedName name="actRank" localSheetId="9">'05x2'!$M$3:$M$7</definedName>
    <definedName name="actRank" localSheetId="10">'06x1'!$M$3:$M$8</definedName>
    <definedName name="actRank" localSheetId="11">'06x2'!$M$3:$M$8</definedName>
    <definedName name="actRank" localSheetId="12">'07x1'!$M$3:$M$9</definedName>
    <definedName name="actRank" localSheetId="13">'07x2'!$M$3:$M$9</definedName>
    <definedName name="actRank" localSheetId="14">'08x1'!$M$3:$M$10</definedName>
    <definedName name="actRank" localSheetId="15">'08x2'!$M$3:$M$10</definedName>
    <definedName name="actRank" localSheetId="16">'09x1'!$M$3:$M$11</definedName>
    <definedName name="actRank" localSheetId="17">'09x2'!$M$3:$M$11</definedName>
    <definedName name="actRank" localSheetId="18">'10x1'!$M$3:$M$12</definedName>
    <definedName name="actRank" localSheetId="19">'10x2'!$M$3:$M$12</definedName>
    <definedName name="appName">"xlEasy Turnering"</definedName>
    <definedName name="appNameLong">"xlEasy Turnering 03x2, 04x1, 04x2, 04x3, 04x4, 05x1, 05x2, 06x1, 06x2, 07x1, 07x2, 08x1, 08x2, 09x1, 09x2, 10x1, 10x2"</definedName>
    <definedName name="appVers">2003</definedName>
    <definedName name="goals1" localSheetId="3">'03x2'!$U$15:$U$20</definedName>
    <definedName name="goals1" localSheetId="4">'04x1'!$U$17:$U$22</definedName>
    <definedName name="goals1" localSheetId="5">'04x2'!$U$17:$U$28</definedName>
    <definedName name="goals1" localSheetId="6">'04x3'!$U$17:$U$34</definedName>
    <definedName name="goals1" localSheetId="7">'04x4'!$U$17:$U$40</definedName>
    <definedName name="goals1" localSheetId="8">'05x1'!$U$19:$U$28</definedName>
    <definedName name="goals1" localSheetId="9">'05x2'!$U$19:$U$38</definedName>
    <definedName name="goals1" localSheetId="10">'06x1'!$U$21:$U$35</definedName>
    <definedName name="goals1" localSheetId="11">'06x2'!$U$21:$U$50</definedName>
    <definedName name="goals1" localSheetId="12">'07x1'!$U$23:$U$43</definedName>
    <definedName name="goals1" localSheetId="13">'07x2'!$U$23:$U$64</definedName>
    <definedName name="goals1" localSheetId="14">'08x1'!$U$25:$U$52</definedName>
    <definedName name="goals1" localSheetId="15">'08x2'!$U$25:$U$80</definedName>
    <definedName name="goals1" localSheetId="16">'09x1'!$V$27:$V$62</definedName>
    <definedName name="goals1" localSheetId="17">'09x2'!$V$27:$V$98</definedName>
    <definedName name="goals1" localSheetId="18">'10x1'!$W$29:$W$73</definedName>
    <definedName name="goals1" localSheetId="19">'10x2'!$W$29:$W$118</definedName>
    <definedName name="goals2" localSheetId="3">'03x2'!$V$15:$V$20</definedName>
    <definedName name="goals2" localSheetId="4">'04x1'!$V$17:$V$22</definedName>
    <definedName name="goals2" localSheetId="5">'04x2'!$V$17:$V$28</definedName>
    <definedName name="goals2" localSheetId="6">'04x3'!$V$17:$V$34</definedName>
    <definedName name="goals2" localSheetId="7">'04x4'!$V$17:$V$40</definedName>
    <definedName name="goals2" localSheetId="8">'05x1'!$V$19:$V$28</definedName>
    <definedName name="goals2" localSheetId="9">'05x2'!$V$19:$V$38</definedName>
    <definedName name="goals2" localSheetId="10">'06x1'!$V$21:$V$35</definedName>
    <definedName name="goals2" localSheetId="11">'06x2'!$V$21:$V$50</definedName>
    <definedName name="goals2" localSheetId="12">'07x1'!$V$23:$V$43</definedName>
    <definedName name="goals2" localSheetId="13">'07x2'!$V$23:$V$64</definedName>
    <definedName name="goals2" localSheetId="14">'08x1'!$V$25:$V$52</definedName>
    <definedName name="goals2" localSheetId="15">'08x2'!$V$25:$V$80</definedName>
    <definedName name="goals2" localSheetId="16">'09x1'!$W$27:$W$62</definedName>
    <definedName name="goals2" localSheetId="17">'09x2'!$W$27:$W$98</definedName>
    <definedName name="goals2" localSheetId="18">'10x1'!$X$29:$X$73</definedName>
    <definedName name="goals2" localSheetId="19">'10x2'!$X$29:$X$118</definedName>
    <definedName name="HxA" localSheetId="3">'03x2'!$A$9:$D$12</definedName>
    <definedName name="HxA" localSheetId="4">'04x1'!$A$10:$E$14</definedName>
    <definedName name="HxA" localSheetId="5">'04x2'!$A$10:$E$14</definedName>
    <definedName name="HxA" localSheetId="6">'04x3'!$A$10:$E$14</definedName>
    <definedName name="HxA" localSheetId="7">'04x4'!$A$10:$E$14</definedName>
    <definedName name="HxA" localSheetId="8">'05x1'!$A$11:$F$16</definedName>
    <definedName name="HxA" localSheetId="9">'05x2'!$A$11:$F$16</definedName>
    <definedName name="HxA" localSheetId="10">'06x1'!$A$12:$G$18</definedName>
    <definedName name="HxA" localSheetId="11">'06x2'!$A$12:$G$18</definedName>
    <definedName name="HxA" localSheetId="12">'07x1'!$A$13:$H$20</definedName>
    <definedName name="HxA" localSheetId="13">'07x2'!$A$13:$H$20</definedName>
    <definedName name="HxA" localSheetId="14">'08x1'!$A$14:$I$22</definedName>
    <definedName name="HxA" localSheetId="15">'08x2'!$A$14:$I$22</definedName>
    <definedName name="HxA" localSheetId="16">'09x1'!$A$15:$J$24</definedName>
    <definedName name="HxA" localSheetId="17">'09x2'!$A$15:$J$24</definedName>
    <definedName name="HxA" localSheetId="18">'10x1'!$A$16:$K$26</definedName>
    <definedName name="HxA" localSheetId="19">'10x2'!$A$16:$K$26</definedName>
    <definedName name="HxH" localSheetId="3">'03x2'!$C$15:$C$20</definedName>
    <definedName name="HxH" localSheetId="4">'04x1'!$C$17:$C$22</definedName>
    <definedName name="HxH" localSheetId="5">'04x2'!$C$17:$C$28</definedName>
    <definedName name="HxH" localSheetId="6">'04x3'!$C$17:$C$34</definedName>
    <definedName name="HxH" localSheetId="7">'04x4'!$C$17:$C$40</definedName>
    <definedName name="HxH" localSheetId="8">'05x1'!$C$19:$C$28</definedName>
    <definedName name="HxH" localSheetId="9">'05x2'!$C$19:$C$38</definedName>
    <definedName name="HxH" localSheetId="10">'06x1'!$C$21:$C$35</definedName>
    <definedName name="HxH" localSheetId="11">'06x2'!$C$21:$C$50</definedName>
    <definedName name="HxH" localSheetId="12">'07x1'!$C$23:$C$43</definedName>
    <definedName name="HxH" localSheetId="13">'07x2'!$C$23:$C$64</definedName>
    <definedName name="HxH" localSheetId="14">'08x1'!$C$25:$C$52</definedName>
    <definedName name="HxH" localSheetId="15">'08x2'!$C$25:$C$80</definedName>
    <definedName name="HxH" localSheetId="16">'09x1'!$C$27:$C$62</definedName>
    <definedName name="HxH" localSheetId="17">'09x2'!$C$27:$C$98</definedName>
    <definedName name="HxH" localSheetId="18">'10x1'!$C$29:$C$73</definedName>
    <definedName name="HxH" localSheetId="19">'10x2'!$C$29:$C$118</definedName>
    <definedName name="iDato" localSheetId="3">'03x2'!$J$15:$K$24</definedName>
    <definedName name="iDato" localSheetId="4">'04x1'!$J$17:$K$26</definedName>
    <definedName name="iDato" localSheetId="5">'04x2'!$J$17:$K$32</definedName>
    <definedName name="iDato" localSheetId="6">'04x3'!$J$17:$K$38</definedName>
    <definedName name="iDato" localSheetId="7">'04x4'!$J$17:$K$44</definedName>
    <definedName name="iDato" localSheetId="8">'05x1'!$J$19:$K$32</definedName>
    <definedName name="iDato" localSheetId="9">'05x2'!$J$19:$K$42</definedName>
    <definedName name="iDato" localSheetId="10">'06x1'!$J$21:$K$39</definedName>
    <definedName name="iDato" localSheetId="11">'06x2'!$J$21:$K$54</definedName>
    <definedName name="iDato" localSheetId="12">'07x1'!$J$23:$K$47</definedName>
    <definedName name="iDato" localSheetId="13">'07x2'!$J$23:$K$68</definedName>
    <definedName name="iDato" localSheetId="14">'08x1'!$J$25:$K$56</definedName>
    <definedName name="iDato" localSheetId="15">'08x2'!$J$25:$K$84</definedName>
    <definedName name="iDato" localSheetId="16">'09x1'!$J$27:$K$66</definedName>
    <definedName name="iDato" localSheetId="17">'09x2'!$J$27:$K$102</definedName>
    <definedName name="iDato" localSheetId="18">'10x1'!$J$29:$K$77</definedName>
    <definedName name="iDato" localSheetId="19">'10x2'!$J$29:$K$122</definedName>
    <definedName name="iMatch" localSheetId="12">'07x1'!$R$23:$V$47</definedName>
    <definedName name="iMatch" localSheetId="13">'07x2'!$R$23:$V$68</definedName>
    <definedName name="iMatch" localSheetId="14">'08x1'!$R$25:$V$56</definedName>
    <definedName name="iMatch" localSheetId="15">'08x2'!$R$25:$V$84</definedName>
    <definedName name="iMatch" localSheetId="16">'09x1'!$S$27:$W$66</definedName>
    <definedName name="iMatch" localSheetId="17">'09x2'!$S$27:$W$102</definedName>
    <definedName name="iMatch" localSheetId="18">'10x1'!$T$29:$X$77</definedName>
    <definedName name="iMatch" localSheetId="19">'10x2'!$T$29:$X$122</definedName>
    <definedName name="mMin">Indstillinger!$D$1</definedName>
    <definedName name="PlaceCalc" localSheetId="3">'03x2'!$A$3:$M$5</definedName>
    <definedName name="PlaceCalc" localSheetId="4">'04x1'!$A$3:$M$6</definedName>
    <definedName name="PlaceCalc" localSheetId="5">'04x2'!$A$3:$M$6</definedName>
    <definedName name="PlaceCalc" localSheetId="6">'04x3'!$A$3:$M$6</definedName>
    <definedName name="PlaceCalc" localSheetId="7">'04x4'!$A$3:$M$6</definedName>
    <definedName name="PlaceCalc" localSheetId="8">'05x1'!$A$3:$M$7</definedName>
    <definedName name="PlaceCalc" localSheetId="9">'05x2'!$A$3:$M$7</definedName>
    <definedName name="PlaceCalc" localSheetId="10">'06x1'!$A$3:$M$8</definedName>
    <definedName name="PlaceCalc" localSheetId="11">'06x2'!$A$3:$M$8</definedName>
    <definedName name="PlaceCalc" localSheetId="12">'07x1'!$A$3:$M$9</definedName>
    <definedName name="PlaceCalc" localSheetId="13">'07x2'!$A$3:$M$9</definedName>
    <definedName name="PlaceCalc" localSheetId="14">'08x1'!$A$3:$M$10</definedName>
    <definedName name="PlaceCalc" localSheetId="15">'08x2'!$A$3:$M$10</definedName>
    <definedName name="placeCalc" localSheetId="16">'09x1'!$A$3:$M$11</definedName>
    <definedName name="placeCalc" localSheetId="17">'09x2'!$A$3:$M$11</definedName>
    <definedName name="PlaceCalc" localSheetId="18">'10x1'!$A$3:$M$12</definedName>
    <definedName name="PlaceCalc" localSheetId="19">'10x2'!$A$3:$M$12</definedName>
    <definedName name="placeView" localSheetId="12">'07x1'!$O$14:$X$20</definedName>
    <definedName name="placeView" localSheetId="13">'07x2'!$O$14:$X$20</definedName>
    <definedName name="placeView" localSheetId="14">'08x1'!$O$15:$X$22</definedName>
    <definedName name="placeView" localSheetId="15">'08x2'!$O$15:$X$22</definedName>
    <definedName name="placeView" localSheetId="16">'09x1'!$P$16:$Y$24</definedName>
    <definedName name="placeView" localSheetId="17">'09x2'!$P$16:$Y$24</definedName>
    <definedName name="placeView" localSheetId="18">'10x1'!$Q$17:$Z$26</definedName>
    <definedName name="placeView" localSheetId="19">'10x2'!$Q$17:$Z$26</definedName>
    <definedName name="points1" localSheetId="3">'03x2'!$W$15:$W$20</definedName>
    <definedName name="points1" localSheetId="4">'04x1'!$W$17:$W$22</definedName>
    <definedName name="points1" localSheetId="5">'04x2'!$W$17:$W$28</definedName>
    <definedName name="points1" localSheetId="6">'04x3'!$W$17:$W$34</definedName>
    <definedName name="points1" localSheetId="7">'04x4'!$W$17:$W$40</definedName>
    <definedName name="points1" localSheetId="8">'05x1'!$W$19:$W$28</definedName>
    <definedName name="points1" localSheetId="9">'05x2'!$W$19:$W$38</definedName>
    <definedName name="points1" localSheetId="10">'06x1'!$W$21:$W$35</definedName>
    <definedName name="points1" localSheetId="11">'06x2'!$W$21:$W$50</definedName>
    <definedName name="points1" localSheetId="12">'07x1'!$W$23:$W$43</definedName>
    <definedName name="points1" localSheetId="13">'07x2'!$W$23:$W$64</definedName>
    <definedName name="points1" localSheetId="14">'08x1'!$W$25:$W$52</definedName>
    <definedName name="points1" localSheetId="15">'08x2'!$W$25:$W$80</definedName>
    <definedName name="points1" localSheetId="16">'09x1'!$X$27:$X$62</definedName>
    <definedName name="points1" localSheetId="17">'09x2'!$X$27:$X$98</definedName>
    <definedName name="points1" localSheetId="18">'10x1'!$Y$29:$Y$73</definedName>
    <definedName name="points1" localSheetId="19">'10x2'!$Y$29:$Y$118</definedName>
    <definedName name="points2" localSheetId="3">'03x2'!$X$15:$X$20</definedName>
    <definedName name="points2" localSheetId="4">'04x1'!$X$17:$X$22</definedName>
    <definedName name="points2" localSheetId="5">'04x2'!$X$17:$X$28</definedName>
    <definedName name="points2" localSheetId="6">'04x3'!$X$17:$X$34</definedName>
    <definedName name="points2" localSheetId="7">'04x4'!$X$17:$X$40</definedName>
    <definedName name="points2" localSheetId="8">'05x1'!$X$19:$X$28</definedName>
    <definedName name="points2" localSheetId="9">'05x2'!$X$19:$X$38</definedName>
    <definedName name="points2" localSheetId="10">'06x1'!$X$21:$X$35</definedName>
    <definedName name="points2" localSheetId="11">'06x2'!$X$21:$X$50</definedName>
    <definedName name="points2" localSheetId="12">'07x1'!$X$23:$X$43</definedName>
    <definedName name="points2" localSheetId="13">'07x2'!$X$23:$X$64</definedName>
    <definedName name="points2" localSheetId="14">'08x1'!$X$25:$X$52</definedName>
    <definedName name="points2" localSheetId="15">'08x2'!$X$25:$X$80</definedName>
    <definedName name="points2" localSheetId="16">'09x1'!$Y$27:$Y$62</definedName>
    <definedName name="points2" localSheetId="17">'09x2'!$Y$27:$Y$98</definedName>
    <definedName name="points2" localSheetId="18">'10x1'!$Z$29:$Z$73</definedName>
    <definedName name="points2" localSheetId="19">'10x2'!$Z$29:$Z$118</definedName>
    <definedName name="pointsTotal" localSheetId="3">'03x2'!$X$10:$X$12</definedName>
    <definedName name="pointsTotal" localSheetId="4">'04x1'!$X$11:$X$14</definedName>
    <definedName name="pointsTotal" localSheetId="5">'04x2'!$X$11:$X$14</definedName>
    <definedName name="pointsTotal" localSheetId="6">'04x3'!$X$11:$X$14</definedName>
    <definedName name="pointsTotal" localSheetId="7">'04x4'!$X$11:$X$14</definedName>
    <definedName name="pointsTotal" localSheetId="8">'05x1'!$X$12:$X$16</definedName>
    <definedName name="pointsTotal" localSheetId="9">'05x2'!$X$12:$X$16</definedName>
    <definedName name="pointsTotal" localSheetId="10">'06x1'!$X$13:$X$18</definedName>
    <definedName name="pointsTotal" localSheetId="11">'06x2'!$X$13:$X$18</definedName>
    <definedName name="pointsTotal" localSheetId="12">'07x1'!$X$14:$X$20</definedName>
    <definedName name="pointsTotal" localSheetId="13">'07x2'!$X$14:$X$20</definedName>
    <definedName name="pointsTotal" localSheetId="14">'08x1'!$E$3:$E$10</definedName>
    <definedName name="pointsTotal" localSheetId="15">'08x2'!$X$15:$X$22</definedName>
    <definedName name="pointsTotal" localSheetId="16">'09x1'!$Y$16:$Y$24</definedName>
    <definedName name="pointsTotal" localSheetId="17">'09x2'!$Y$16:$Y$24</definedName>
    <definedName name="pointsTotal" localSheetId="19">'10x2'!$Z$17:$Z$26</definedName>
    <definedName name="ptt">Indstillinger!$D$6</definedName>
    <definedName name="ptu">Indstillinger!$D$5</definedName>
    <definedName name="ptv">Indstillinger!$D$4</definedName>
    <definedName name="rankNum" localSheetId="3">'03x2'!$O$10:$O$12</definedName>
    <definedName name="rankNum" localSheetId="4">'04x1'!$O$11:$O$14</definedName>
    <definedName name="rankNum" localSheetId="5">'04x2'!$O$11:$O$14</definedName>
    <definedName name="rankNum" localSheetId="6">'04x3'!$O$11:$O$14</definedName>
    <definedName name="rankNum" localSheetId="7">'04x4'!$O$11:$O$14</definedName>
    <definedName name="rankNum" localSheetId="8">'05x1'!$O$12:$O$16</definedName>
    <definedName name="rankNum" localSheetId="9">'05x2'!$O$12:$O$16</definedName>
    <definedName name="rankNum" localSheetId="10">'06x1'!$O$13:$O$18</definedName>
    <definedName name="rankNum" localSheetId="11">'06x2'!$O$13:$O$18</definedName>
    <definedName name="rankNum" localSheetId="16">'09x1'!$P$16:$P$24</definedName>
    <definedName name="rankNum" localSheetId="17">'09x2'!$P$16:$P$24</definedName>
    <definedName name="T_01" localSheetId="3">'03x2'!$B$3</definedName>
    <definedName name="T_01" localSheetId="4">'04x1'!$B$3</definedName>
    <definedName name="T_01" localSheetId="5">'04x2'!$B$3</definedName>
    <definedName name="T_01" localSheetId="6">'04x3'!$B$3</definedName>
    <definedName name="T_01" localSheetId="7">'04x4'!$B$3</definedName>
    <definedName name="T_01" localSheetId="8">'05x1'!$B$3</definedName>
    <definedName name="T_01" localSheetId="9">'05x2'!$B$3</definedName>
    <definedName name="T_01" localSheetId="10">'06x1'!$B$3</definedName>
    <definedName name="T_01" localSheetId="11">'06x2'!$B$3</definedName>
    <definedName name="T_01" localSheetId="12">'07x1'!$B$3</definedName>
    <definedName name="T_01" localSheetId="13">'07x2'!$B$3</definedName>
    <definedName name="T_01" localSheetId="14">'08x1'!$B$3</definedName>
    <definedName name="T_01" localSheetId="15">'08x2'!$B$3</definedName>
    <definedName name="T_01" localSheetId="16">'09x1'!$B$3</definedName>
    <definedName name="T_01" localSheetId="17">'09x2'!$B$3</definedName>
    <definedName name="T_01" localSheetId="18">'10x1'!$B$3</definedName>
    <definedName name="T_01" localSheetId="19">'10x2'!$B$3</definedName>
    <definedName name="T_02" localSheetId="3">'03x2'!$B$4</definedName>
    <definedName name="T_02" localSheetId="4">'04x1'!$B$4</definedName>
    <definedName name="T_02" localSheetId="5">'04x2'!$B$4</definedName>
    <definedName name="T_02" localSheetId="6">'04x3'!$B$4</definedName>
    <definedName name="T_02" localSheetId="7">'04x4'!$B$4</definedName>
    <definedName name="T_02" localSheetId="8">'05x1'!$B$4</definedName>
    <definedName name="T_02" localSheetId="9">'05x2'!$B$4</definedName>
    <definedName name="T_02" localSheetId="10">'06x1'!$B$4</definedName>
    <definedName name="T_02" localSheetId="11">'06x2'!$B$4</definedName>
    <definedName name="T_02" localSheetId="12">'07x1'!$B$4</definedName>
    <definedName name="T_02" localSheetId="13">'07x2'!$B$4</definedName>
    <definedName name="T_02" localSheetId="14">'08x1'!$B$4</definedName>
    <definedName name="T_02" localSheetId="15">'08x2'!$B$4</definedName>
    <definedName name="T_02" localSheetId="16">'09x1'!$B$4</definedName>
    <definedName name="T_02" localSheetId="17">'09x2'!$B$4</definedName>
    <definedName name="T_02" localSheetId="18">'10x1'!$B$4</definedName>
    <definedName name="T_02" localSheetId="19">'10x2'!$B$4</definedName>
    <definedName name="T_03" localSheetId="3">'03x2'!$B$5</definedName>
    <definedName name="T_03" localSheetId="4">'04x1'!$B$5</definedName>
    <definedName name="T_03" localSheetId="5">'04x2'!$B$5</definedName>
    <definedName name="T_03" localSheetId="6">'04x3'!$B$5</definedName>
    <definedName name="T_03" localSheetId="7">'04x4'!$B$5</definedName>
    <definedName name="T_03" localSheetId="8">'05x1'!$B$5</definedName>
    <definedName name="T_03" localSheetId="9">'05x2'!$B$5</definedName>
    <definedName name="T_03" localSheetId="10">'06x1'!$B$5</definedName>
    <definedName name="T_03" localSheetId="11">'06x2'!$B$5</definedName>
    <definedName name="T_03" localSheetId="12">'07x1'!$B$5</definedName>
    <definedName name="T_03" localSheetId="13">'07x2'!$B$5</definedName>
    <definedName name="T_03" localSheetId="14">'08x1'!$B$5</definedName>
    <definedName name="T_03" localSheetId="15">'08x2'!$B$5</definedName>
    <definedName name="T_03" localSheetId="16">'09x1'!$B$5</definedName>
    <definedName name="T_03" localSheetId="17">'09x2'!$B$5</definedName>
    <definedName name="T_03" localSheetId="18">'10x1'!$B$5</definedName>
    <definedName name="T_03" localSheetId="19">'10x2'!$B$5</definedName>
    <definedName name="T_04" localSheetId="3">'03x2'!#REF!</definedName>
    <definedName name="T_04" localSheetId="4">'04x1'!$B$6</definedName>
    <definedName name="T_04" localSheetId="5">'04x2'!$B$6</definedName>
    <definedName name="T_04" localSheetId="6">'04x3'!$B$6</definedName>
    <definedName name="T_04" localSheetId="7">'04x4'!$B$6</definedName>
    <definedName name="T_04" localSheetId="8">'05x1'!$B$6</definedName>
    <definedName name="T_04" localSheetId="9">'05x2'!$B$6</definedName>
    <definedName name="T_04" localSheetId="10">'06x1'!$B$6</definedName>
    <definedName name="T_04" localSheetId="11">'06x2'!$B$6</definedName>
    <definedName name="T_04" localSheetId="12">'07x1'!$B$6</definedName>
    <definedName name="T_04" localSheetId="13">'07x2'!$B$6</definedName>
    <definedName name="T_04" localSheetId="14">'08x1'!$B$6</definedName>
    <definedName name="T_04" localSheetId="15">'08x2'!$B$6</definedName>
    <definedName name="T_04" localSheetId="16">'09x1'!$B$6</definedName>
    <definedName name="T_04" localSheetId="17">'09x2'!$B$6</definedName>
    <definedName name="T_04" localSheetId="18">'10x1'!$B$6</definedName>
    <definedName name="T_04" localSheetId="19">'10x2'!$B$6</definedName>
    <definedName name="T_05" localSheetId="7">'04x4'!#REF!</definedName>
    <definedName name="T_05" localSheetId="8">'05x1'!$B$7</definedName>
    <definedName name="T_05" localSheetId="9">'05x2'!$B$7</definedName>
    <definedName name="T_05" localSheetId="10">'06x1'!$B$7</definedName>
    <definedName name="T_05" localSheetId="11">'06x2'!$B$7</definedName>
    <definedName name="T_05" localSheetId="12">'07x1'!$B$7</definedName>
    <definedName name="T_05" localSheetId="13">'07x2'!$B$7</definedName>
    <definedName name="T_05" localSheetId="14">'08x1'!$B$7</definedName>
    <definedName name="T_05" localSheetId="15">'08x2'!$B$7</definedName>
    <definedName name="T_05" localSheetId="16">'09x1'!$B$7</definedName>
    <definedName name="T_05" localSheetId="17">'09x2'!$B$7</definedName>
    <definedName name="T_05" localSheetId="18">'10x1'!$B$7</definedName>
    <definedName name="T_05" localSheetId="19">'10x2'!$B$7</definedName>
    <definedName name="T_06" localSheetId="7">'04x4'!#REF!</definedName>
    <definedName name="T_06" localSheetId="10">'06x1'!$B$8</definedName>
    <definedName name="T_06" localSheetId="11">'06x2'!$B$8</definedName>
    <definedName name="T_06" localSheetId="12">'07x1'!$B$8</definedName>
    <definedName name="T_06" localSheetId="13">'07x2'!$B$8</definedName>
    <definedName name="T_06" localSheetId="14">'08x1'!$B$8</definedName>
    <definedName name="T_06" localSheetId="15">'08x2'!$B$8</definedName>
    <definedName name="T_06" localSheetId="16">'09x1'!$B$8</definedName>
    <definedName name="T_06" localSheetId="17">'09x2'!$B$8</definedName>
    <definedName name="T_06" localSheetId="18">'10x1'!$B$8</definedName>
    <definedName name="T_06" localSheetId="19">'10x2'!$B$8</definedName>
    <definedName name="T_07" localSheetId="12">'07x1'!$B$9</definedName>
    <definedName name="T_07" localSheetId="13">'07x2'!$B$9</definedName>
    <definedName name="T_07" localSheetId="14">'08x1'!$B$9</definedName>
    <definedName name="T_07" localSheetId="15">'08x2'!$B$9</definedName>
    <definedName name="T_07" localSheetId="16">'09x1'!$B$9</definedName>
    <definedName name="T_07" localSheetId="17">'09x2'!$B$9</definedName>
    <definedName name="T_07" localSheetId="18">'10x1'!$B$9</definedName>
    <definedName name="T_07" localSheetId="19">'10x2'!$B$9</definedName>
    <definedName name="T_08" localSheetId="14">'08x1'!$B$10</definedName>
    <definedName name="T_08" localSheetId="15">'08x2'!$B$10</definedName>
    <definedName name="T_08" localSheetId="16">'09x1'!$B$10</definedName>
    <definedName name="T_08" localSheetId="17">'09x2'!$B$10</definedName>
    <definedName name="T_08" localSheetId="18">'10x1'!$B$10</definedName>
    <definedName name="T_08" localSheetId="19">'10x2'!$B$10</definedName>
    <definedName name="T_09" localSheetId="16">'09x1'!$B$11</definedName>
    <definedName name="T_09" localSheetId="17">'09x2'!$B$11</definedName>
    <definedName name="T_09" localSheetId="18">'10x1'!$B$11</definedName>
    <definedName name="T_09" localSheetId="19">'10x2'!$B$11</definedName>
    <definedName name="T_1" localSheetId="3">'03x2'!$P$10</definedName>
    <definedName name="T_1" localSheetId="4">'04x1'!$P$11</definedName>
    <definedName name="T_1" localSheetId="5">'04x2'!$P$11</definedName>
    <definedName name="T_1" localSheetId="6">'04x3'!$P$11</definedName>
    <definedName name="T_1" localSheetId="7">'04x4'!$P$11</definedName>
    <definedName name="T_1" localSheetId="8">'05x1'!$P$12</definedName>
    <definedName name="T_1" localSheetId="9">'05x2'!$P$12</definedName>
    <definedName name="T_1" localSheetId="10">'06x1'!$P$13</definedName>
    <definedName name="T_1" localSheetId="11">'06x2'!$P$13</definedName>
    <definedName name="T_1" localSheetId="12">'07x1'!$P$14</definedName>
    <definedName name="T_1" localSheetId="13">'07x2'!$P$14</definedName>
    <definedName name="T_1" localSheetId="14">'08x1'!$B$3</definedName>
    <definedName name="T_10" localSheetId="18">'10x1'!$B$12</definedName>
    <definedName name="T_10" localSheetId="19">'10x2'!$B$12</definedName>
    <definedName name="T_2" localSheetId="3">'03x2'!$P$11</definedName>
    <definedName name="T_2" localSheetId="4">'04x1'!$P$12</definedName>
    <definedName name="T_2" localSheetId="5">'04x2'!$P$12</definedName>
    <definedName name="T_2" localSheetId="6">'04x3'!$P$12</definedName>
    <definedName name="T_2" localSheetId="7">'04x4'!$P$12</definedName>
    <definedName name="T_2" localSheetId="8">'05x1'!$P$13</definedName>
    <definedName name="T_2" localSheetId="9">'05x2'!$P$13</definedName>
    <definedName name="T_2" localSheetId="10">'06x1'!$P$14</definedName>
    <definedName name="T_2" localSheetId="11">'06x2'!$P$14</definedName>
    <definedName name="T_2" localSheetId="12">'07x1'!$P$15</definedName>
    <definedName name="T_2" localSheetId="13">'07x2'!$P$15</definedName>
    <definedName name="T_2" localSheetId="14">'08x1'!$B$4</definedName>
    <definedName name="T_3" localSheetId="3">'03x2'!$P$12</definedName>
    <definedName name="T_3" localSheetId="4">'04x1'!$P$13</definedName>
    <definedName name="T_3" localSheetId="5">'04x2'!$P$13</definedName>
    <definedName name="T_3" localSheetId="6">'04x3'!$P$13</definedName>
    <definedName name="T_3" localSheetId="7">'04x4'!$P$13</definedName>
    <definedName name="T_3" localSheetId="8">'05x1'!$P$14</definedName>
    <definedName name="T_3" localSheetId="9">'05x2'!$P$14</definedName>
    <definedName name="T_3" localSheetId="10">'06x1'!$P$15</definedName>
    <definedName name="T_3" localSheetId="11">'06x2'!$P$15</definedName>
    <definedName name="T_3" localSheetId="12">'07x1'!$P$16</definedName>
    <definedName name="T_3" localSheetId="13">'07x2'!$P$16</definedName>
    <definedName name="T_3" localSheetId="14">'08x1'!$B$5</definedName>
    <definedName name="T_4" localSheetId="4">'04x1'!$P$14</definedName>
    <definedName name="T_4" localSheetId="5">'04x2'!$P$14</definedName>
    <definedName name="T_4" localSheetId="6">'04x3'!$P$14</definedName>
    <definedName name="T_4" localSheetId="7">'04x4'!$P$14</definedName>
    <definedName name="T_4" localSheetId="8">'05x1'!$P$15</definedName>
    <definedName name="T_4" localSheetId="9">'05x2'!$P$15</definedName>
    <definedName name="T_4" localSheetId="10">'06x1'!$P$16</definedName>
    <definedName name="T_4" localSheetId="11">'06x2'!$P$16</definedName>
    <definedName name="T_4" localSheetId="12">'07x1'!$P$17</definedName>
    <definedName name="T_4" localSheetId="13">'07x2'!$P$17</definedName>
    <definedName name="T_4" localSheetId="14">'08x1'!$B$6</definedName>
    <definedName name="T_5" localSheetId="8">'05x1'!$P$16</definedName>
    <definedName name="T_5" localSheetId="9">'05x2'!$P$16</definedName>
    <definedName name="T_5" localSheetId="10">'06x1'!$P$17</definedName>
    <definedName name="T_5" localSheetId="11">'06x2'!$P$17</definedName>
    <definedName name="T_5" localSheetId="12">'07x1'!$P$18</definedName>
    <definedName name="T_5" localSheetId="13">'07x2'!$P$18</definedName>
    <definedName name="T_5" localSheetId="14">'08x1'!$B$7</definedName>
    <definedName name="T_6" localSheetId="10">'06x1'!$P$18</definedName>
    <definedName name="T_6" localSheetId="11">'06x2'!$P$18</definedName>
    <definedName name="T_6" localSheetId="12">'07x1'!$P$19</definedName>
    <definedName name="T_6" localSheetId="13">'07x2'!$P$19</definedName>
    <definedName name="T_6" localSheetId="14">'08x1'!$B$8</definedName>
    <definedName name="T_7" localSheetId="12">'07x1'!$P$20</definedName>
    <definedName name="T_7" localSheetId="13">'07x2'!$P$20</definedName>
    <definedName name="T_7" localSheetId="14">'08x1'!$B$9</definedName>
    <definedName name="T_8" localSheetId="14">'08x1'!$B$10</definedName>
    <definedName name="team1" localSheetId="3">'03x2'!$P$15:$P$20</definedName>
    <definedName name="team1" localSheetId="4">'04x1'!$P$17:$P$22</definedName>
    <definedName name="team1" localSheetId="5">'04x2'!$P$17:$P$28</definedName>
    <definedName name="team1" localSheetId="6">'04x3'!$P$17:$P$34</definedName>
    <definedName name="team1" localSheetId="7">'04x4'!$P$17:$P$40</definedName>
    <definedName name="team1" localSheetId="8">'05x1'!$P$19:$P$28</definedName>
    <definedName name="team1" localSheetId="9">'05x2'!$P$19:$P$38</definedName>
    <definedName name="team1" localSheetId="10">'06x1'!$P$21:$P$35</definedName>
    <definedName name="team1" localSheetId="11">'06x2'!$P$21:$P$50</definedName>
    <definedName name="team1" localSheetId="12">'07x1'!$P$23:$P$43</definedName>
    <definedName name="team1" localSheetId="13">'07x2'!$P$23:$P$64</definedName>
    <definedName name="team1" localSheetId="14">'08x1'!$P$25:$P$52</definedName>
    <definedName name="team1" localSheetId="15">'08x2'!$P$25:$P$80</definedName>
    <definedName name="team1" localSheetId="16">'09x1'!$Q$27:$Q$62</definedName>
    <definedName name="team1" localSheetId="17">'09x2'!$Q$27:$Q$98</definedName>
    <definedName name="team1" localSheetId="18">'10x1'!$R$29:$R$73</definedName>
    <definedName name="team1" localSheetId="19">'10x2'!$R$29:$R$118</definedName>
    <definedName name="team1a" localSheetId="12">'07x1'!$P$23:$P$43</definedName>
    <definedName name="team1a" localSheetId="13">'07x2'!$P$23:$P$43</definedName>
    <definedName name="team1a" localSheetId="14">'08x1'!$P$25:$P$52</definedName>
    <definedName name="team1a" localSheetId="15">'08x2'!$P$25:$P$52</definedName>
    <definedName name="team1a" localSheetId="16">'09x1'!$Q$27:$Q$62</definedName>
    <definedName name="team1a" localSheetId="17">'09x2'!$Q$27:$Q$71</definedName>
    <definedName name="team1a" localSheetId="18">'10x1'!$R$29:$R$73</definedName>
    <definedName name="team1a" localSheetId="19">'10x2'!$R$29:$R$73</definedName>
    <definedName name="team1b" localSheetId="13">'07x2'!$P$44:$P$64</definedName>
    <definedName name="team1b" localSheetId="15">'08x2'!$P$53:$P$80</definedName>
    <definedName name="team1b" localSheetId="17">'09x2'!$Q$72:$Q$98</definedName>
    <definedName name="team1b" localSheetId="19">'10x2'!$R$74:$R$118</definedName>
    <definedName name="team2" localSheetId="3">'03x2'!$Q$15:$Q$20</definedName>
    <definedName name="team2" localSheetId="4">'04x1'!$Q$17:$Q$22</definedName>
    <definedName name="team2" localSheetId="5">'04x2'!$Q$17:$Q$28</definedName>
    <definedName name="team2" localSheetId="6">'04x3'!$Q$17:$Q$34</definedName>
    <definedName name="team2" localSheetId="7">'04x4'!$Q$17:$Q$40</definedName>
    <definedName name="team2" localSheetId="8">'05x1'!$Q$19:$Q$28</definedName>
    <definedName name="team2" localSheetId="9">'05x2'!$Q$19:$Q$38</definedName>
    <definedName name="team2" localSheetId="10">'06x1'!$Q$21:$Q$35</definedName>
    <definedName name="team2" localSheetId="11">'06x2'!$Q$21:$Q$50</definedName>
    <definedName name="team2" localSheetId="12">'07x1'!$Q$23:$Q$43</definedName>
    <definedName name="team2" localSheetId="13">'07x2'!$Q$23:$Q$64</definedName>
    <definedName name="team2" localSheetId="14">'08x1'!$Q$25:$Q$52</definedName>
    <definedName name="team2" localSheetId="15">'08x2'!$Q$25:$Q$80</definedName>
    <definedName name="team2" localSheetId="16">'09x1'!$R$27:$R$62</definedName>
    <definedName name="team2" localSheetId="17">'09x2'!$R$27:$R$98</definedName>
    <definedName name="team2" localSheetId="18">'10x1'!$S$29:$S$73</definedName>
    <definedName name="team2" localSheetId="19">'10x2'!$S$29:$S$118</definedName>
    <definedName name="team2a" localSheetId="12">'07x1'!$Q$23:$Q$43</definedName>
    <definedName name="team2a" localSheetId="13">'07x2'!$Q$23:$Q$43</definedName>
    <definedName name="team2a" localSheetId="14">'08x1'!$Q$25:$Q$52</definedName>
    <definedName name="team2a" localSheetId="15">'08x2'!$Q$25:$Q$52</definedName>
    <definedName name="team2a" localSheetId="16">'09x1'!$R$27:$R$62</definedName>
    <definedName name="team2a" localSheetId="17">'09x2'!$R$27:$R$71</definedName>
    <definedName name="team2a" localSheetId="18">'10x1'!$S$29:$S$73</definedName>
    <definedName name="team2a" localSheetId="19">'10x2'!$S$29:$S$73</definedName>
    <definedName name="team2b" localSheetId="13">'07x2'!$Q$44:$Q$64</definedName>
    <definedName name="team2b" localSheetId="15">'08x2'!$Q$53:$Q$80</definedName>
    <definedName name="team2b" localSheetId="17">'09x2'!$R$72:$R$98</definedName>
    <definedName name="team2b" localSheetId="19">'10x2'!$S$74:$S$118</definedName>
    <definedName name="teamName" localSheetId="3">'03x2'!$P$10:$P$12</definedName>
    <definedName name="teamName" localSheetId="4">'04x1'!$P$11:$P$14</definedName>
    <definedName name="teamName" localSheetId="5">'04x2'!$P$11:$P$14</definedName>
    <definedName name="teamName" localSheetId="6">'04x3'!$P$11:$P$14</definedName>
    <definedName name="teamName" localSheetId="7">'04x4'!$P$11:$P$14</definedName>
    <definedName name="teamName" localSheetId="8">'05x1'!$P$12:$P$16</definedName>
    <definedName name="teamName" localSheetId="9">'05x2'!$P$12:$P$16</definedName>
    <definedName name="teamName" localSheetId="10">'06x1'!$P$13:$P$18</definedName>
    <definedName name="teamName" localSheetId="11">'06x2'!$P$13:$P$18</definedName>
    <definedName name="teamName" localSheetId="12">'07x1'!$P$14:$P$20</definedName>
    <definedName name="teamName" localSheetId="13">'07x2'!$P$14:$P$20</definedName>
    <definedName name="teamName" localSheetId="14">'08x1'!$P$15:$P$22</definedName>
    <definedName name="teamName" localSheetId="15">'08x2'!$P$15:$P$22</definedName>
    <definedName name="teamName" localSheetId="16">'09x1'!$Q$16:$Q$24</definedName>
    <definedName name="teamName" localSheetId="17">'09x2'!$Q$16:$Q$24</definedName>
    <definedName name="teamName" localSheetId="18">'10x1'!$R$17:$R$26</definedName>
    <definedName name="teamName" localSheetId="19">'10x2'!$R$17:$R$26</definedName>
    <definedName name="teamNum" localSheetId="12">'07x1'!$O$14:$O$20</definedName>
    <definedName name="teamNum" localSheetId="13">'07x2'!$O$14:$O$20</definedName>
    <definedName name="teamNum" localSheetId="14">'08x1'!$O$15:$O$22</definedName>
    <definedName name="teamNum" localSheetId="15">'08x2'!$O$15:$O$22</definedName>
    <definedName name="teamNum" localSheetId="16">'09x1'!$Q$17:$Q$26</definedName>
    <definedName name="teamNum" localSheetId="18">'10x1'!$Q$17:$Q$26</definedName>
    <definedName name="teamNum" localSheetId="19">'10x2'!$Q$17:$Q$26</definedName>
    <definedName name="teams" localSheetId="3">'03x2'!$B$3:$B$5</definedName>
    <definedName name="teams" localSheetId="4">'04x1'!$B$3:$B$6</definedName>
    <definedName name="teams" localSheetId="5">'04x2'!$B$3:$B$6</definedName>
    <definedName name="teams" localSheetId="6">'04x3'!$B$3:$B$6</definedName>
    <definedName name="teams" localSheetId="7">'04x4'!$B$3:$B$6</definedName>
    <definedName name="teams" localSheetId="8">'05x1'!$B$3:$B$7</definedName>
    <definedName name="teams" localSheetId="9">'05x2'!$B$3:$B$7</definedName>
    <definedName name="teams" localSheetId="10">'06x1'!$B$3:$B$8</definedName>
    <definedName name="teams" localSheetId="11">'06x2'!$B$3:$B$8</definedName>
    <definedName name="teams" localSheetId="12">'07x1'!$B$3:$B$9</definedName>
    <definedName name="teams" localSheetId="13">'07x2'!$B$3:$B$9</definedName>
    <definedName name="teams" localSheetId="14">'08x1'!$B$3:$B$10</definedName>
    <definedName name="teams" localSheetId="15">'08x2'!$B$3:$B$10</definedName>
    <definedName name="teams" localSheetId="16">'09x1'!$B$3:$B$11</definedName>
    <definedName name="teams" localSheetId="17">'09x2'!$B$3:$B$11</definedName>
    <definedName name="teams" localSheetId="18">'10x1'!$B$3:$B$12</definedName>
    <definedName name="teams" localSheetId="19">'10x2'!$B$3:$B$12</definedName>
    <definedName name="TurneringsNavn">Indstillinger!$B$10</definedName>
    <definedName name="_xlnm.Print_Area" localSheetId="3">'03x2'!$O$7:$X$24</definedName>
    <definedName name="_xlnm.Print_Area" localSheetId="4">'04x1'!$O$8:$X$26</definedName>
    <definedName name="_xlnm.Print_Area" localSheetId="5">'04x2'!$O$8:$X$32</definedName>
    <definedName name="_xlnm.Print_Area" localSheetId="6">'04x3'!$O$8:$X$38</definedName>
    <definedName name="_xlnm.Print_Area" localSheetId="7">'04x4'!$O$8:$X$44</definedName>
    <definedName name="_xlnm.Print_Area" localSheetId="8">'05x1'!$O$9:$X$32</definedName>
    <definedName name="_xlnm.Print_Area" localSheetId="9">'05x2'!$O$9:$X$42</definedName>
    <definedName name="_xlnm.Print_Area" localSheetId="10">'06x1'!$O$10:$X$39</definedName>
    <definedName name="_xlnm.Print_Area" localSheetId="11">'06x2'!$O$10:$X$54</definedName>
    <definedName name="_xlnm.Print_Area" localSheetId="12">'07x1'!$O$11:$X$47</definedName>
    <definedName name="_xlnm.Print_Area" localSheetId="13">'07x2'!$O$11:$X$68</definedName>
    <definedName name="_xlnm.Print_Area" localSheetId="14">'08x1'!$O$12:$X$56</definedName>
    <definedName name="_xlnm.Print_Area" localSheetId="15">'08x2'!$O$12:$X$84</definedName>
    <definedName name="_xlnm.Print_Area" localSheetId="16">'09x1'!$P$13:$Y$66</definedName>
    <definedName name="_xlnm.Print_Area" localSheetId="17">'09x2'!$P$13:$W$102</definedName>
    <definedName name="_xlnm.Print_Area" localSheetId="18">'10x1'!$Q$14:$Z$77</definedName>
    <definedName name="_xlnm.Print_Area" localSheetId="19">'10x2'!$Q$14:$Z$122</definedName>
    <definedName name="_xlnm.Print_Area" localSheetId="2">Licens!$B$2:$C$13</definedName>
    <definedName name="_xlnm.Print_Area" localSheetId="0">Tips!$B$2:$C$82</definedName>
    <definedName name="_xlnm.Print_Titles" localSheetId="15">'08x2'!$24:$24</definedName>
    <definedName name="_xlnm.Print_Titles" localSheetId="16">'09x1'!$26:$26</definedName>
    <definedName name="_xlnm.Print_Titles" localSheetId="17">'09x2'!$26:$26</definedName>
    <definedName name="_xlnm.Print_Titles" localSheetId="19">'10x2'!$28:$28</definedName>
    <definedName name="_xlnm.Print_Titles" localSheetId="2">Licens!$3:$4</definedName>
    <definedName name="xTeams">Indstillinger!$C$14:$C$23</definedName>
  </definedNames>
  <calcPr calcId="191029" iterate="1" iterateCount="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2" i="53" l="1"/>
  <c r="W32" i="53"/>
  <c r="K32" i="53"/>
  <c r="I32" i="53"/>
  <c r="H32" i="53"/>
  <c r="X30" i="53"/>
  <c r="W30" i="53"/>
  <c r="K30" i="53"/>
  <c r="I30" i="53"/>
  <c r="H30" i="53"/>
  <c r="W28" i="53"/>
  <c r="X28" i="53" s="1"/>
  <c r="K28" i="53"/>
  <c r="W27" i="53"/>
  <c r="X27" i="53" s="1"/>
  <c r="K27" i="53"/>
  <c r="W26" i="53"/>
  <c r="X26" i="53" s="1"/>
  <c r="K26" i="53"/>
  <c r="W25" i="53"/>
  <c r="X25" i="53" s="1"/>
  <c r="K25" i="53"/>
  <c r="W24" i="53"/>
  <c r="X24" i="53" s="1"/>
  <c r="K24" i="53"/>
  <c r="W23" i="53"/>
  <c r="X23" i="53" s="1"/>
  <c r="K23" i="53"/>
  <c r="W22" i="53"/>
  <c r="X22" i="53" s="1"/>
  <c r="K22" i="53"/>
  <c r="W21" i="53"/>
  <c r="X21" i="53" s="1"/>
  <c r="K21" i="53"/>
  <c r="W20" i="53"/>
  <c r="X20" i="53" s="1"/>
  <c r="K20" i="53"/>
  <c r="W19" i="53"/>
  <c r="X19" i="53" s="1"/>
  <c r="O9" i="53"/>
  <c r="E9" i="53"/>
  <c r="B7" i="53"/>
  <c r="B6" i="53"/>
  <c r="B5" i="53"/>
  <c r="B4" i="53"/>
  <c r="B3" i="53"/>
  <c r="X42" i="52"/>
  <c r="W42" i="52"/>
  <c r="K42" i="52"/>
  <c r="I42" i="52"/>
  <c r="H42" i="52"/>
  <c r="X40" i="52"/>
  <c r="W40" i="52"/>
  <c r="K40" i="52"/>
  <c r="I40" i="52"/>
  <c r="H40" i="52"/>
  <c r="W38" i="52"/>
  <c r="X38" i="52" s="1"/>
  <c r="K38" i="52"/>
  <c r="W37" i="52"/>
  <c r="X37" i="52" s="1"/>
  <c r="K37" i="52"/>
  <c r="W36" i="52"/>
  <c r="X36" i="52" s="1"/>
  <c r="K36" i="52"/>
  <c r="W35" i="52"/>
  <c r="X35" i="52" s="1"/>
  <c r="K35" i="52"/>
  <c r="W34" i="52"/>
  <c r="X34" i="52" s="1"/>
  <c r="K34" i="52"/>
  <c r="W33" i="52"/>
  <c r="X33" i="52" s="1"/>
  <c r="K33" i="52"/>
  <c r="W32" i="52"/>
  <c r="X32" i="52" s="1"/>
  <c r="K32" i="52"/>
  <c r="W31" i="52"/>
  <c r="X31" i="52" s="1"/>
  <c r="K31" i="52"/>
  <c r="W30" i="52"/>
  <c r="X30" i="52" s="1"/>
  <c r="K30" i="52"/>
  <c r="W29" i="52"/>
  <c r="X29" i="52" s="1"/>
  <c r="K29" i="52"/>
  <c r="W28" i="52"/>
  <c r="X28" i="52" s="1"/>
  <c r="K28" i="52"/>
  <c r="W27" i="52"/>
  <c r="X27" i="52" s="1"/>
  <c r="K27" i="52"/>
  <c r="W26" i="52"/>
  <c r="X26" i="52" s="1"/>
  <c r="K26" i="52"/>
  <c r="W25" i="52"/>
  <c r="X25" i="52" s="1"/>
  <c r="K25" i="52"/>
  <c r="W24" i="52"/>
  <c r="X24" i="52" s="1"/>
  <c r="K24" i="52"/>
  <c r="W23" i="52"/>
  <c r="X23" i="52" s="1"/>
  <c r="K23" i="52"/>
  <c r="W22" i="52"/>
  <c r="X22" i="52" s="1"/>
  <c r="K22" i="52"/>
  <c r="W21" i="52"/>
  <c r="X21" i="52" s="1"/>
  <c r="K21" i="52"/>
  <c r="W20" i="52"/>
  <c r="X20" i="52" s="1"/>
  <c r="K20" i="52"/>
  <c r="W19" i="52"/>
  <c r="X19" i="52" s="1"/>
  <c r="O9" i="52"/>
  <c r="E9" i="52"/>
  <c r="B7" i="52"/>
  <c r="B6" i="52"/>
  <c r="B5" i="52"/>
  <c r="B4" i="52"/>
  <c r="B3" i="52"/>
  <c r="X24" i="51"/>
  <c r="W24" i="51"/>
  <c r="K24" i="51"/>
  <c r="I24" i="51"/>
  <c r="H24" i="51"/>
  <c r="X22" i="51"/>
  <c r="W22" i="51"/>
  <c r="K22" i="51"/>
  <c r="I22" i="51"/>
  <c r="H22" i="51"/>
  <c r="W20" i="51"/>
  <c r="X20" i="51" s="1"/>
  <c r="K20" i="51"/>
  <c r="W19" i="51"/>
  <c r="X19" i="51" s="1"/>
  <c r="K19" i="51"/>
  <c r="W18" i="51"/>
  <c r="X18" i="51" s="1"/>
  <c r="K18" i="51"/>
  <c r="W17" i="51"/>
  <c r="X17" i="51" s="1"/>
  <c r="K17" i="51"/>
  <c r="W16" i="51"/>
  <c r="X16" i="51" s="1"/>
  <c r="K16" i="51"/>
  <c r="W15" i="51"/>
  <c r="X15" i="51" s="1"/>
  <c r="O7" i="51"/>
  <c r="E7" i="51"/>
  <c r="B5" i="51"/>
  <c r="B4" i="51"/>
  <c r="B3" i="51"/>
  <c r="G21" i="53" l="1"/>
  <c r="H21" i="53" s="1"/>
  <c r="G24" i="53"/>
  <c r="H24" i="53" s="1"/>
  <c r="G27" i="53"/>
  <c r="H27" i="53" s="1"/>
  <c r="F22" i="53"/>
  <c r="I22" i="53" s="1"/>
  <c r="F25" i="53"/>
  <c r="I25" i="53" s="1"/>
  <c r="F28" i="53"/>
  <c r="I28" i="53" s="1"/>
  <c r="F19" i="53"/>
  <c r="I19" i="53" s="1"/>
  <c r="G22" i="53"/>
  <c r="H22" i="53" s="1"/>
  <c r="G25" i="53"/>
  <c r="H25" i="53" s="1"/>
  <c r="G28" i="53"/>
  <c r="H28" i="53" s="1"/>
  <c r="G19" i="53"/>
  <c r="H19" i="53" s="1"/>
  <c r="F20" i="53"/>
  <c r="I20" i="53" s="1"/>
  <c r="F23" i="53"/>
  <c r="I23" i="53" s="1"/>
  <c r="F26" i="53"/>
  <c r="I26" i="53" s="1"/>
  <c r="G20" i="53"/>
  <c r="H20" i="53" s="1"/>
  <c r="G23" i="53"/>
  <c r="H23" i="53" s="1"/>
  <c r="G26" i="53"/>
  <c r="H26" i="53" s="1"/>
  <c r="F21" i="53"/>
  <c r="I21" i="53" s="1"/>
  <c r="F24" i="53"/>
  <c r="I24" i="53" s="1"/>
  <c r="F27" i="53"/>
  <c r="I27" i="53" s="1"/>
  <c r="F20" i="52"/>
  <c r="I20" i="52" s="1"/>
  <c r="F19" i="52"/>
  <c r="I19" i="52" s="1"/>
  <c r="G22" i="52"/>
  <c r="H22" i="52" s="1"/>
  <c r="G25" i="52"/>
  <c r="H25" i="52" s="1"/>
  <c r="G28" i="52"/>
  <c r="H28" i="52" s="1"/>
  <c r="G31" i="52"/>
  <c r="H31" i="52" s="1"/>
  <c r="G34" i="52"/>
  <c r="H34" i="52" s="1"/>
  <c r="G37" i="52"/>
  <c r="H37" i="52" s="1"/>
  <c r="F23" i="52"/>
  <c r="I23" i="52" s="1"/>
  <c r="F35" i="52"/>
  <c r="I35" i="52" s="1"/>
  <c r="G20" i="52"/>
  <c r="H20" i="52" s="1"/>
  <c r="G23" i="52"/>
  <c r="H23" i="52" s="1"/>
  <c r="G26" i="52"/>
  <c r="H26" i="52" s="1"/>
  <c r="G29" i="52"/>
  <c r="H29" i="52" s="1"/>
  <c r="G32" i="52"/>
  <c r="H32" i="52" s="1"/>
  <c r="G35" i="52"/>
  <c r="H35" i="52" s="1"/>
  <c r="G38" i="52"/>
  <c r="H38" i="52" s="1"/>
  <c r="F26" i="52"/>
  <c r="I26" i="52" s="1"/>
  <c r="F38" i="52"/>
  <c r="I38" i="52" s="1"/>
  <c r="G19" i="52"/>
  <c r="H19" i="52" s="1"/>
  <c r="F29" i="52"/>
  <c r="I29" i="52" s="1"/>
  <c r="F21" i="52"/>
  <c r="I21" i="52" s="1"/>
  <c r="F24" i="52"/>
  <c r="I24" i="52" s="1"/>
  <c r="F27" i="52"/>
  <c r="I27" i="52" s="1"/>
  <c r="F30" i="52"/>
  <c r="I30" i="52" s="1"/>
  <c r="F33" i="52"/>
  <c r="I33" i="52" s="1"/>
  <c r="F36" i="52"/>
  <c r="I36" i="52" s="1"/>
  <c r="F32" i="52"/>
  <c r="I32" i="52" s="1"/>
  <c r="G24" i="52"/>
  <c r="H24" i="52" s="1"/>
  <c r="G27" i="52"/>
  <c r="H27" i="52" s="1"/>
  <c r="G30" i="52"/>
  <c r="H30" i="52" s="1"/>
  <c r="G33" i="52"/>
  <c r="H33" i="52" s="1"/>
  <c r="G36" i="52"/>
  <c r="H36" i="52" s="1"/>
  <c r="G21" i="52"/>
  <c r="H21" i="52" s="1"/>
  <c r="F22" i="52"/>
  <c r="I22" i="52" s="1"/>
  <c r="F25" i="52"/>
  <c r="I25" i="52" s="1"/>
  <c r="F28" i="52"/>
  <c r="I28" i="52" s="1"/>
  <c r="F31" i="52"/>
  <c r="I31" i="52" s="1"/>
  <c r="F34" i="52"/>
  <c r="I34" i="52" s="1"/>
  <c r="F37" i="52"/>
  <c r="I37" i="52" s="1"/>
  <c r="F15" i="51"/>
  <c r="I15" i="51" s="1"/>
  <c r="G18" i="51"/>
  <c r="H18" i="51" s="1"/>
  <c r="G15" i="51"/>
  <c r="H15" i="51" s="1"/>
  <c r="F16" i="51"/>
  <c r="I16" i="51" s="1"/>
  <c r="F19" i="51"/>
  <c r="I19" i="51" s="1"/>
  <c r="G16" i="51"/>
  <c r="H16" i="51" s="1"/>
  <c r="G19" i="51"/>
  <c r="H19" i="51" s="1"/>
  <c r="F17" i="51"/>
  <c r="I17" i="51" s="1"/>
  <c r="F20" i="51"/>
  <c r="I20" i="51" s="1"/>
  <c r="G17" i="51"/>
  <c r="H17" i="51" s="1"/>
  <c r="G20" i="51"/>
  <c r="H20" i="51" s="1"/>
  <c r="F18" i="51"/>
  <c r="I18" i="51" s="1"/>
  <c r="X44" i="49"/>
  <c r="W44" i="49"/>
  <c r="K44" i="49"/>
  <c r="I44" i="49"/>
  <c r="H44" i="49"/>
  <c r="X42" i="49"/>
  <c r="W42" i="49"/>
  <c r="K42" i="49"/>
  <c r="I42" i="49"/>
  <c r="H42" i="49"/>
  <c r="W40" i="49"/>
  <c r="X40" i="49" s="1"/>
  <c r="K40" i="49"/>
  <c r="W39" i="49"/>
  <c r="X39" i="49" s="1"/>
  <c r="K39" i="49"/>
  <c r="W38" i="49"/>
  <c r="X38" i="49" s="1"/>
  <c r="K38" i="49"/>
  <c r="W37" i="49"/>
  <c r="X37" i="49" s="1"/>
  <c r="K37" i="49"/>
  <c r="W36" i="49"/>
  <c r="X36" i="49" s="1"/>
  <c r="K36" i="49"/>
  <c r="W35" i="49"/>
  <c r="X35" i="49" s="1"/>
  <c r="K35" i="49"/>
  <c r="W34" i="49"/>
  <c r="X34" i="49" s="1"/>
  <c r="K34" i="49"/>
  <c r="W33" i="49"/>
  <c r="X33" i="49" s="1"/>
  <c r="K33" i="49"/>
  <c r="W32" i="49"/>
  <c r="X32" i="49" s="1"/>
  <c r="K32" i="49"/>
  <c r="W31" i="49"/>
  <c r="X31" i="49" s="1"/>
  <c r="K31" i="49"/>
  <c r="W30" i="49"/>
  <c r="X30" i="49" s="1"/>
  <c r="K30" i="49"/>
  <c r="W29" i="49"/>
  <c r="X29" i="49" s="1"/>
  <c r="K29" i="49"/>
  <c r="W28" i="49"/>
  <c r="X28" i="49" s="1"/>
  <c r="K28" i="49"/>
  <c r="W27" i="49"/>
  <c r="X27" i="49" s="1"/>
  <c r="K27" i="49"/>
  <c r="W26" i="49"/>
  <c r="X26" i="49" s="1"/>
  <c r="K26" i="49"/>
  <c r="W25" i="49"/>
  <c r="X25" i="49" s="1"/>
  <c r="K25" i="49"/>
  <c r="W24" i="49"/>
  <c r="X24" i="49" s="1"/>
  <c r="K24" i="49"/>
  <c r="W23" i="49"/>
  <c r="X23" i="49" s="1"/>
  <c r="K23" i="49"/>
  <c r="W22" i="49"/>
  <c r="X22" i="49" s="1"/>
  <c r="K22" i="49"/>
  <c r="W21" i="49"/>
  <c r="X21" i="49" s="1"/>
  <c r="K21" i="49"/>
  <c r="W20" i="49"/>
  <c r="X20" i="49" s="1"/>
  <c r="K20" i="49"/>
  <c r="W19" i="49"/>
  <c r="X19" i="49" s="1"/>
  <c r="K19" i="49"/>
  <c r="W18" i="49"/>
  <c r="X18" i="49" s="1"/>
  <c r="K18" i="49"/>
  <c r="W17" i="49"/>
  <c r="X17" i="49" s="1"/>
  <c r="O8" i="49"/>
  <c r="E8" i="49"/>
  <c r="B6" i="49"/>
  <c r="B5" i="49"/>
  <c r="B4" i="49"/>
  <c r="B3" i="49"/>
  <c r="X38" i="47"/>
  <c r="W38" i="47"/>
  <c r="K38" i="47"/>
  <c r="I38" i="47"/>
  <c r="H38" i="47"/>
  <c r="X36" i="47"/>
  <c r="W36" i="47"/>
  <c r="K36" i="47"/>
  <c r="I36" i="47"/>
  <c r="H36" i="47"/>
  <c r="W34" i="47"/>
  <c r="X34" i="47" s="1"/>
  <c r="K34" i="47"/>
  <c r="W33" i="47"/>
  <c r="X33" i="47" s="1"/>
  <c r="K33" i="47"/>
  <c r="W32" i="47"/>
  <c r="X32" i="47" s="1"/>
  <c r="K32" i="47"/>
  <c r="W31" i="47"/>
  <c r="X31" i="47" s="1"/>
  <c r="K31" i="47"/>
  <c r="W30" i="47"/>
  <c r="X30" i="47" s="1"/>
  <c r="K30" i="47"/>
  <c r="W29" i="47"/>
  <c r="X29" i="47" s="1"/>
  <c r="K29" i="47"/>
  <c r="W28" i="47"/>
  <c r="X28" i="47" s="1"/>
  <c r="K28" i="47"/>
  <c r="W27" i="47"/>
  <c r="X27" i="47" s="1"/>
  <c r="K27" i="47"/>
  <c r="W26" i="47"/>
  <c r="X26" i="47" s="1"/>
  <c r="K26" i="47"/>
  <c r="W25" i="47"/>
  <c r="X25" i="47" s="1"/>
  <c r="K25" i="47"/>
  <c r="W24" i="47"/>
  <c r="X24" i="47" s="1"/>
  <c r="K24" i="47"/>
  <c r="W23" i="47"/>
  <c r="X23" i="47" s="1"/>
  <c r="K23" i="47"/>
  <c r="W22" i="47"/>
  <c r="X22" i="47" s="1"/>
  <c r="K22" i="47"/>
  <c r="W21" i="47"/>
  <c r="X21" i="47" s="1"/>
  <c r="K21" i="47"/>
  <c r="W20" i="47"/>
  <c r="X20" i="47" s="1"/>
  <c r="K20" i="47"/>
  <c r="W19" i="47"/>
  <c r="X19" i="47" s="1"/>
  <c r="K19" i="47"/>
  <c r="W18" i="47"/>
  <c r="X18" i="47" s="1"/>
  <c r="K18" i="47"/>
  <c r="W17" i="47"/>
  <c r="X17" i="47" s="1"/>
  <c r="O8" i="47"/>
  <c r="E8" i="47"/>
  <c r="B6" i="47"/>
  <c r="B5" i="47"/>
  <c r="B4" i="47"/>
  <c r="B3" i="47"/>
  <c r="X32" i="46"/>
  <c r="W32" i="46"/>
  <c r="K32" i="46"/>
  <c r="I32" i="46"/>
  <c r="H32" i="46"/>
  <c r="X30" i="46"/>
  <c r="W30" i="46"/>
  <c r="K30" i="46"/>
  <c r="I30" i="46"/>
  <c r="H30" i="46"/>
  <c r="W28" i="46"/>
  <c r="X28" i="46" s="1"/>
  <c r="K28" i="46"/>
  <c r="W27" i="46"/>
  <c r="X27" i="46" s="1"/>
  <c r="K27" i="46"/>
  <c r="W26" i="46"/>
  <c r="X26" i="46" s="1"/>
  <c r="K26" i="46"/>
  <c r="W25" i="46"/>
  <c r="X25" i="46" s="1"/>
  <c r="K25" i="46"/>
  <c r="W24" i="46"/>
  <c r="X24" i="46" s="1"/>
  <c r="K24" i="46"/>
  <c r="W23" i="46"/>
  <c r="X23" i="46" s="1"/>
  <c r="K23" i="46"/>
  <c r="W22" i="46"/>
  <c r="X22" i="46" s="1"/>
  <c r="K22" i="46"/>
  <c r="W21" i="46"/>
  <c r="X21" i="46" s="1"/>
  <c r="K21" i="46"/>
  <c r="W20" i="46"/>
  <c r="X20" i="46" s="1"/>
  <c r="K20" i="46"/>
  <c r="W19" i="46"/>
  <c r="X19" i="46" s="1"/>
  <c r="K19" i="46"/>
  <c r="W18" i="46"/>
  <c r="X18" i="46" s="1"/>
  <c r="K18" i="46"/>
  <c r="W17" i="46"/>
  <c r="X17" i="46" s="1"/>
  <c r="O8" i="46"/>
  <c r="E8" i="46"/>
  <c r="B6" i="46"/>
  <c r="B5" i="46"/>
  <c r="B4" i="46"/>
  <c r="B3" i="46"/>
  <c r="X26" i="45"/>
  <c r="W26" i="45"/>
  <c r="K26" i="45"/>
  <c r="I26" i="45"/>
  <c r="H26" i="45"/>
  <c r="X24" i="45"/>
  <c r="W24" i="45"/>
  <c r="K24" i="45"/>
  <c r="I24" i="45"/>
  <c r="H24" i="45"/>
  <c r="W22" i="45"/>
  <c r="X22" i="45" s="1"/>
  <c r="K22" i="45"/>
  <c r="W21" i="45"/>
  <c r="X21" i="45" s="1"/>
  <c r="K21" i="45"/>
  <c r="W20" i="45"/>
  <c r="X20" i="45" s="1"/>
  <c r="K20" i="45"/>
  <c r="W19" i="45"/>
  <c r="X19" i="45" s="1"/>
  <c r="K19" i="45"/>
  <c r="W18" i="45"/>
  <c r="X18" i="45" s="1"/>
  <c r="K18" i="45"/>
  <c r="W17" i="45"/>
  <c r="X17" i="45" s="1"/>
  <c r="O8" i="45"/>
  <c r="E8" i="45"/>
  <c r="B6" i="45"/>
  <c r="B5" i="45"/>
  <c r="B4" i="45"/>
  <c r="B3" i="45"/>
  <c r="O10" i="26"/>
  <c r="B8" i="26"/>
  <c r="B7" i="26"/>
  <c r="B6" i="26"/>
  <c r="B5" i="26"/>
  <c r="B4" i="26"/>
  <c r="B3" i="26"/>
  <c r="O10" i="27"/>
  <c r="Q25" i="52"/>
  <c r="Q16" i="51"/>
  <c r="Q20" i="51"/>
  <c r="Q27" i="53"/>
  <c r="P19" i="53"/>
  <c r="Q23" i="52"/>
  <c r="Q26" i="52"/>
  <c r="Q24" i="52"/>
  <c r="Q28" i="53"/>
  <c r="Q19" i="51"/>
  <c r="Q31" i="52"/>
  <c r="Q24" i="53"/>
  <c r="Q35" i="52"/>
  <c r="Q20" i="52"/>
  <c r="Q37" i="52"/>
  <c r="P19" i="52"/>
  <c r="Q25" i="53"/>
  <c r="Q21" i="52"/>
  <c r="Q17" i="51"/>
  <c r="Q26" i="53"/>
  <c r="Q18" i="51"/>
  <c r="P15" i="51"/>
  <c r="Q29" i="52"/>
  <c r="Q23" i="53"/>
  <c r="Q15" i="51"/>
  <c r="Q33" i="52"/>
  <c r="Q19" i="53"/>
  <c r="Q34" i="52"/>
  <c r="Q20" i="53"/>
  <c r="Q30" i="52"/>
  <c r="Q36" i="52"/>
  <c r="Q38" i="52"/>
  <c r="Q28" i="52"/>
  <c r="Q22" i="53"/>
  <c r="Q19" i="52"/>
  <c r="Q21" i="53"/>
  <c r="Q32" i="52"/>
  <c r="P18" i="51"/>
  <c r="Q22" i="52"/>
  <c r="Q27" i="52"/>
  <c r="I15" i="53" l="1"/>
  <c r="I13" i="53"/>
  <c r="I16" i="53"/>
  <c r="I12" i="53"/>
  <c r="I14" i="53"/>
  <c r="D24" i="53"/>
  <c r="D26" i="53"/>
  <c r="D21" i="53"/>
  <c r="D23" i="53"/>
  <c r="D28" i="53"/>
  <c r="D20" i="53"/>
  <c r="D25" i="53"/>
  <c r="D22" i="53"/>
  <c r="D27" i="53"/>
  <c r="I12" i="52"/>
  <c r="I16" i="52"/>
  <c r="I14" i="52"/>
  <c r="I13" i="52"/>
  <c r="I15" i="52"/>
  <c r="D36" i="52"/>
  <c r="D23" i="52"/>
  <c r="D30" i="52"/>
  <c r="D37" i="52"/>
  <c r="D21" i="52"/>
  <c r="D20" i="52"/>
  <c r="D27" i="52"/>
  <c r="D38" i="52"/>
  <c r="D34" i="52"/>
  <c r="D24" i="52"/>
  <c r="D35" i="52"/>
  <c r="D31" i="52"/>
  <c r="D32" i="52"/>
  <c r="D28" i="52"/>
  <c r="D29" i="52"/>
  <c r="D25" i="52"/>
  <c r="D33" i="52"/>
  <c r="D26" i="52"/>
  <c r="D22" i="52"/>
  <c r="G11" i="51"/>
  <c r="G12" i="51"/>
  <c r="G10" i="51"/>
  <c r="D20" i="51"/>
  <c r="D17" i="51"/>
  <c r="D18" i="51"/>
  <c r="D19" i="51"/>
  <c r="D16" i="51"/>
  <c r="F24" i="49"/>
  <c r="I24" i="49" s="1"/>
  <c r="F26" i="49"/>
  <c r="I26" i="49" s="1"/>
  <c r="F17" i="49"/>
  <c r="I17" i="49" s="1"/>
  <c r="G20" i="49"/>
  <c r="H20" i="49" s="1"/>
  <c r="G23" i="49"/>
  <c r="H23" i="49" s="1"/>
  <c r="G26" i="49"/>
  <c r="H26" i="49" s="1"/>
  <c r="G29" i="49"/>
  <c r="H29" i="49" s="1"/>
  <c r="G32" i="49"/>
  <c r="H32" i="49" s="1"/>
  <c r="G35" i="49"/>
  <c r="H35" i="49" s="1"/>
  <c r="G38" i="49"/>
  <c r="H38" i="49" s="1"/>
  <c r="G17" i="49"/>
  <c r="H17" i="49" s="1"/>
  <c r="F27" i="49"/>
  <c r="I27" i="49" s="1"/>
  <c r="F39" i="49"/>
  <c r="I39" i="49" s="1"/>
  <c r="G18" i="49"/>
  <c r="H18" i="49" s="1"/>
  <c r="G21" i="49"/>
  <c r="H21" i="49" s="1"/>
  <c r="G24" i="49"/>
  <c r="H24" i="49" s="1"/>
  <c r="G27" i="49"/>
  <c r="H27" i="49" s="1"/>
  <c r="G30" i="49"/>
  <c r="H30" i="49" s="1"/>
  <c r="G33" i="49"/>
  <c r="H33" i="49" s="1"/>
  <c r="G36" i="49"/>
  <c r="H36" i="49" s="1"/>
  <c r="G39" i="49"/>
  <c r="H39" i="49" s="1"/>
  <c r="F21" i="49"/>
  <c r="I21" i="49" s="1"/>
  <c r="F36" i="49"/>
  <c r="I36" i="49" s="1"/>
  <c r="F18" i="49"/>
  <c r="I18" i="49" s="1"/>
  <c r="F33" i="49"/>
  <c r="I33" i="49" s="1"/>
  <c r="F19" i="49"/>
  <c r="I19" i="49" s="1"/>
  <c r="F22" i="49"/>
  <c r="I22" i="49" s="1"/>
  <c r="F25" i="49"/>
  <c r="I25" i="49" s="1"/>
  <c r="F28" i="49"/>
  <c r="I28" i="49" s="1"/>
  <c r="F31" i="49"/>
  <c r="I31" i="49" s="1"/>
  <c r="F34" i="49"/>
  <c r="I34" i="49" s="1"/>
  <c r="F37" i="49"/>
  <c r="I37" i="49" s="1"/>
  <c r="F40" i="49"/>
  <c r="I40" i="49" s="1"/>
  <c r="F30" i="49"/>
  <c r="I30" i="49" s="1"/>
  <c r="G19" i="49"/>
  <c r="H19" i="49" s="1"/>
  <c r="G22" i="49"/>
  <c r="H22" i="49" s="1"/>
  <c r="G25" i="49"/>
  <c r="H25" i="49" s="1"/>
  <c r="G28" i="49"/>
  <c r="H28" i="49" s="1"/>
  <c r="G31" i="49"/>
  <c r="H31" i="49" s="1"/>
  <c r="G34" i="49"/>
  <c r="H34" i="49" s="1"/>
  <c r="G37" i="49"/>
  <c r="H37" i="49" s="1"/>
  <c r="G40" i="49"/>
  <c r="H40" i="49" s="1"/>
  <c r="F20" i="49"/>
  <c r="I20" i="49" s="1"/>
  <c r="F23" i="49"/>
  <c r="I23" i="49" s="1"/>
  <c r="F29" i="49"/>
  <c r="I29" i="49" s="1"/>
  <c r="F32" i="49"/>
  <c r="I32" i="49" s="1"/>
  <c r="F35" i="49"/>
  <c r="I35" i="49" s="1"/>
  <c r="F38" i="49"/>
  <c r="I38" i="49" s="1"/>
  <c r="F29" i="47"/>
  <c r="I29" i="47" s="1"/>
  <c r="G29" i="47"/>
  <c r="H29" i="47" s="1"/>
  <c r="F17" i="47"/>
  <c r="I17" i="47" s="1"/>
  <c r="G32" i="47"/>
  <c r="H32" i="47" s="1"/>
  <c r="G17" i="47"/>
  <c r="H17" i="47" s="1"/>
  <c r="F18" i="47"/>
  <c r="I18" i="47" s="1"/>
  <c r="F21" i="47"/>
  <c r="I21" i="47" s="1"/>
  <c r="F24" i="47"/>
  <c r="I24" i="47" s="1"/>
  <c r="F27" i="47"/>
  <c r="I27" i="47" s="1"/>
  <c r="F30" i="47"/>
  <c r="I30" i="47" s="1"/>
  <c r="F33" i="47"/>
  <c r="I33" i="47" s="1"/>
  <c r="G18" i="47"/>
  <c r="H18" i="47" s="1"/>
  <c r="G21" i="47"/>
  <c r="H21" i="47" s="1"/>
  <c r="G24" i="47"/>
  <c r="H24" i="47" s="1"/>
  <c r="G27" i="47"/>
  <c r="H27" i="47" s="1"/>
  <c r="G30" i="47"/>
  <c r="H30" i="47" s="1"/>
  <c r="G33" i="47"/>
  <c r="H33" i="47" s="1"/>
  <c r="G26" i="47"/>
  <c r="H26" i="47" s="1"/>
  <c r="G20" i="47"/>
  <c r="H20" i="47" s="1"/>
  <c r="F19" i="47"/>
  <c r="I19" i="47" s="1"/>
  <c r="F22" i="47"/>
  <c r="I22" i="47" s="1"/>
  <c r="F25" i="47"/>
  <c r="I25" i="47" s="1"/>
  <c r="F28" i="47"/>
  <c r="I28" i="47" s="1"/>
  <c r="F31" i="47"/>
  <c r="I31" i="47" s="1"/>
  <c r="F34" i="47"/>
  <c r="I34" i="47" s="1"/>
  <c r="G23" i="47"/>
  <c r="H23" i="47" s="1"/>
  <c r="G19" i="47"/>
  <c r="H19" i="47" s="1"/>
  <c r="G22" i="47"/>
  <c r="H22" i="47" s="1"/>
  <c r="G25" i="47"/>
  <c r="H25" i="47" s="1"/>
  <c r="G28" i="47"/>
  <c r="H28" i="47" s="1"/>
  <c r="G31" i="47"/>
  <c r="H31" i="47" s="1"/>
  <c r="G34" i="47"/>
  <c r="H34" i="47" s="1"/>
  <c r="F20" i="47"/>
  <c r="I20" i="47" s="1"/>
  <c r="F23" i="47"/>
  <c r="I23" i="47" s="1"/>
  <c r="F26" i="47"/>
  <c r="I26" i="47" s="1"/>
  <c r="F32" i="47"/>
  <c r="I32" i="47" s="1"/>
  <c r="F26" i="46"/>
  <c r="I26" i="46" s="1"/>
  <c r="F17" i="46"/>
  <c r="I17" i="46" s="1"/>
  <c r="G20" i="46"/>
  <c r="H20" i="46" s="1"/>
  <c r="G23" i="46"/>
  <c r="H23" i="46" s="1"/>
  <c r="G26" i="46"/>
  <c r="H26" i="46" s="1"/>
  <c r="G17" i="46"/>
  <c r="H17" i="46" s="1"/>
  <c r="G18" i="46"/>
  <c r="H18" i="46" s="1"/>
  <c r="G21" i="46"/>
  <c r="H21" i="46" s="1"/>
  <c r="G27" i="46"/>
  <c r="H27" i="46" s="1"/>
  <c r="F24" i="46"/>
  <c r="I24" i="46" s="1"/>
  <c r="G24" i="46"/>
  <c r="H24" i="46" s="1"/>
  <c r="F21" i="46"/>
  <c r="I21" i="46" s="1"/>
  <c r="F19" i="46"/>
  <c r="I19" i="46" s="1"/>
  <c r="F22" i="46"/>
  <c r="I22" i="46" s="1"/>
  <c r="F25" i="46"/>
  <c r="I25" i="46" s="1"/>
  <c r="F28" i="46"/>
  <c r="I28" i="46" s="1"/>
  <c r="F27" i="46"/>
  <c r="I27" i="46" s="1"/>
  <c r="G22" i="46"/>
  <c r="H22" i="46" s="1"/>
  <c r="G25" i="46"/>
  <c r="H25" i="46" s="1"/>
  <c r="G28" i="46"/>
  <c r="H28" i="46" s="1"/>
  <c r="F18" i="46"/>
  <c r="I18" i="46" s="1"/>
  <c r="G19" i="46"/>
  <c r="H19" i="46" s="1"/>
  <c r="F20" i="46"/>
  <c r="I20" i="46" s="1"/>
  <c r="F23" i="46"/>
  <c r="I23" i="46" s="1"/>
  <c r="F21" i="45"/>
  <c r="I21" i="45" s="1"/>
  <c r="G18" i="45"/>
  <c r="H18" i="45" s="1"/>
  <c r="G21" i="45"/>
  <c r="H21" i="45" s="1"/>
  <c r="F19" i="45"/>
  <c r="I19" i="45" s="1"/>
  <c r="F22" i="45"/>
  <c r="I22" i="45" s="1"/>
  <c r="F17" i="45"/>
  <c r="I17" i="45" s="1"/>
  <c r="G17" i="45"/>
  <c r="H17" i="45" s="1"/>
  <c r="G19" i="45"/>
  <c r="H19" i="45" s="1"/>
  <c r="G20" i="45"/>
  <c r="H20" i="45" s="1"/>
  <c r="G22" i="45"/>
  <c r="H22" i="45" s="1"/>
  <c r="F18" i="45"/>
  <c r="I18" i="45" s="1"/>
  <c r="F20" i="45"/>
  <c r="I20" i="45" s="1"/>
  <c r="B8" i="27"/>
  <c r="B7" i="27"/>
  <c r="B6" i="27"/>
  <c r="B5" i="27"/>
  <c r="B4" i="27"/>
  <c r="B3" i="27"/>
  <c r="P17" i="51"/>
  <c r="Q18" i="47"/>
  <c r="P23" i="52"/>
  <c r="P27" i="53"/>
  <c r="Q27" i="49"/>
  <c r="Q32" i="47"/>
  <c r="Q20" i="49"/>
  <c r="Q17" i="46"/>
  <c r="Q22" i="47"/>
  <c r="Q24" i="46"/>
  <c r="P34" i="52"/>
  <c r="Q20" i="47"/>
  <c r="Q25" i="47"/>
  <c r="Q18" i="49"/>
  <c r="Q21" i="45"/>
  <c r="P24" i="52"/>
  <c r="Q28" i="49"/>
  <c r="P17" i="47"/>
  <c r="Q27" i="47"/>
  <c r="Q25" i="49"/>
  <c r="P20" i="53"/>
  <c r="Q17" i="49"/>
  <c r="Q26" i="49"/>
  <c r="P29" i="47"/>
  <c r="Q22" i="49"/>
  <c r="Q20" i="46"/>
  <c r="Q38" i="49"/>
  <c r="Q31" i="47"/>
  <c r="Q19" i="45"/>
  <c r="P16" i="51"/>
  <c r="P17" i="45"/>
  <c r="Q21" i="49"/>
  <c r="Q31" i="49"/>
  <c r="Q40" i="49"/>
  <c r="Q29" i="47"/>
  <c r="Q23" i="49"/>
  <c r="Q39" i="49"/>
  <c r="Q17" i="47"/>
  <c r="P21" i="52"/>
  <c r="P28" i="53"/>
  <c r="Q30" i="47"/>
  <c r="Q20" i="45"/>
  <c r="Q18" i="45"/>
  <c r="P25" i="52"/>
  <c r="Q33" i="49"/>
  <c r="P30" i="52"/>
  <c r="P35" i="52"/>
  <c r="P20" i="51"/>
  <c r="P26" i="53"/>
  <c r="P25" i="53"/>
  <c r="P28" i="52"/>
  <c r="P26" i="52"/>
  <c r="Q30" i="49"/>
  <c r="P17" i="46"/>
  <c r="Q27" i="46"/>
  <c r="Q21" i="46"/>
  <c r="P23" i="53"/>
  <c r="Q19" i="49"/>
  <c r="P36" i="52"/>
  <c r="P22" i="53"/>
  <c r="P24" i="53"/>
  <c r="Q24" i="49"/>
  <c r="Q34" i="49"/>
  <c r="Q33" i="47"/>
  <c r="P38" i="52"/>
  <c r="Q34" i="47"/>
  <c r="P21" i="53"/>
  <c r="Q23" i="47"/>
  <c r="P33" i="52"/>
  <c r="Q21" i="47"/>
  <c r="P22" i="52"/>
  <c r="Q18" i="46"/>
  <c r="P37" i="52"/>
  <c r="P27" i="52"/>
  <c r="Q29" i="49"/>
  <c r="Q25" i="46"/>
  <c r="Q22" i="46"/>
  <c r="Q28" i="47"/>
  <c r="Q17" i="45"/>
  <c r="P19" i="51"/>
  <c r="Q23" i="46"/>
  <c r="Q36" i="49"/>
  <c r="P20" i="52"/>
  <c r="P29" i="52"/>
  <c r="Q24" i="47"/>
  <c r="P32" i="52"/>
  <c r="Q32" i="49"/>
  <c r="P17" i="49"/>
  <c r="Q19" i="47"/>
  <c r="Q19" i="46"/>
  <c r="Q35" i="49"/>
  <c r="Q28" i="46"/>
  <c r="Q26" i="47"/>
  <c r="Q22" i="45"/>
  <c r="P31" i="52"/>
  <c r="Q37" i="49"/>
  <c r="Q26" i="46"/>
  <c r="G5" i="52" l="1"/>
  <c r="H5" i="52" s="1"/>
  <c r="G7" i="52"/>
  <c r="H7" i="52" s="1"/>
  <c r="G4" i="52"/>
  <c r="G6" i="52"/>
  <c r="G4" i="53"/>
  <c r="H4" i="53" s="1"/>
  <c r="G6" i="53"/>
  <c r="H6" i="53" s="1"/>
  <c r="G7" i="53"/>
  <c r="H7" i="53" s="1"/>
  <c r="G5" i="53"/>
  <c r="H5" i="53" s="1"/>
  <c r="G3" i="53"/>
  <c r="H3" i="53" s="1"/>
  <c r="G4" i="51"/>
  <c r="H4" i="51" s="1"/>
  <c r="G5" i="51"/>
  <c r="H5" i="51" s="1"/>
  <c r="H12" i="53"/>
  <c r="J12" i="53" s="1"/>
  <c r="C6" i="53"/>
  <c r="C5" i="53"/>
  <c r="E3" i="53"/>
  <c r="C7" i="53"/>
  <c r="E4" i="53"/>
  <c r="E5" i="53"/>
  <c r="E6" i="53"/>
  <c r="H13" i="53"/>
  <c r="J13" i="53" s="1"/>
  <c r="H15" i="53"/>
  <c r="J15" i="53" s="1"/>
  <c r="D5" i="53"/>
  <c r="E7" i="53"/>
  <c r="C3" i="53"/>
  <c r="D3" i="53"/>
  <c r="C4" i="53"/>
  <c r="D7" i="53"/>
  <c r="D4" i="53"/>
  <c r="D6" i="53"/>
  <c r="H14" i="53"/>
  <c r="J14" i="53" s="1"/>
  <c r="H16" i="53"/>
  <c r="J16" i="53" s="1"/>
  <c r="E4" i="52"/>
  <c r="C3" i="52"/>
  <c r="D3" i="52"/>
  <c r="H16" i="52"/>
  <c r="J16" i="52" s="1"/>
  <c r="H4" i="52"/>
  <c r="D6" i="52"/>
  <c r="H13" i="52"/>
  <c r="J13" i="52" s="1"/>
  <c r="E7" i="52"/>
  <c r="D5" i="52"/>
  <c r="E5" i="52"/>
  <c r="D4" i="52"/>
  <c r="C4" i="52"/>
  <c r="C5" i="52"/>
  <c r="H15" i="52"/>
  <c r="J15" i="52" s="1"/>
  <c r="H12" i="52"/>
  <c r="J12" i="52" s="1"/>
  <c r="C6" i="52"/>
  <c r="E3" i="52"/>
  <c r="H6" i="52"/>
  <c r="H14" i="52"/>
  <c r="J14" i="52" s="1"/>
  <c r="E6" i="52"/>
  <c r="C7" i="52"/>
  <c r="G3" i="52"/>
  <c r="H3" i="52" s="1"/>
  <c r="D7" i="52"/>
  <c r="F10" i="51"/>
  <c r="H10" i="51" s="1"/>
  <c r="G3" i="51"/>
  <c r="H3" i="51" s="1"/>
  <c r="D4" i="51"/>
  <c r="E3" i="51"/>
  <c r="E5" i="51"/>
  <c r="F12" i="51"/>
  <c r="H12" i="51" s="1"/>
  <c r="F11" i="51"/>
  <c r="H11" i="51" s="1"/>
  <c r="C3" i="51"/>
  <c r="C5" i="51"/>
  <c r="E4" i="51"/>
  <c r="D3" i="51"/>
  <c r="C4" i="51"/>
  <c r="D5" i="51"/>
  <c r="H11" i="49"/>
  <c r="H12" i="49"/>
  <c r="H14" i="49"/>
  <c r="H13" i="49"/>
  <c r="D37" i="49"/>
  <c r="D30" i="49"/>
  <c r="D35" i="49"/>
  <c r="D34" i="49"/>
  <c r="D31" i="49"/>
  <c r="D24" i="49"/>
  <c r="D29" i="49"/>
  <c r="D28" i="49"/>
  <c r="D21" i="49"/>
  <c r="D26" i="49"/>
  <c r="D32" i="49"/>
  <c r="D25" i="49"/>
  <c r="D18" i="49"/>
  <c r="D23" i="49"/>
  <c r="D22" i="49"/>
  <c r="D39" i="49"/>
  <c r="D20" i="49"/>
  <c r="D19" i="49"/>
  <c r="D36" i="49"/>
  <c r="D27" i="49"/>
  <c r="D40" i="49"/>
  <c r="D33" i="49"/>
  <c r="D38" i="49"/>
  <c r="H12" i="46"/>
  <c r="H13" i="46"/>
  <c r="H14" i="46"/>
  <c r="H11" i="46"/>
  <c r="H12" i="47"/>
  <c r="H13" i="47"/>
  <c r="H14" i="47"/>
  <c r="H11" i="47"/>
  <c r="D33" i="47"/>
  <c r="D34" i="47"/>
  <c r="D32" i="47"/>
  <c r="D31" i="47"/>
  <c r="D30" i="47"/>
  <c r="D29" i="47"/>
  <c r="D27" i="47"/>
  <c r="D26" i="47"/>
  <c r="D28" i="47"/>
  <c r="D20" i="47"/>
  <c r="D21" i="47"/>
  <c r="D25" i="47"/>
  <c r="D23" i="47"/>
  <c r="D18" i="47"/>
  <c r="D22" i="47"/>
  <c r="D19" i="47"/>
  <c r="D24" i="47"/>
  <c r="H12" i="45"/>
  <c r="H13" i="45"/>
  <c r="H14" i="45"/>
  <c r="H11" i="45"/>
  <c r="D19" i="46"/>
  <c r="D27" i="46"/>
  <c r="D20" i="46"/>
  <c r="D21" i="46"/>
  <c r="D18" i="46"/>
  <c r="D28" i="46"/>
  <c r="D24" i="46"/>
  <c r="D25" i="46"/>
  <c r="D22" i="46"/>
  <c r="D26" i="46"/>
  <c r="D23" i="46"/>
  <c r="D19" i="45"/>
  <c r="D21" i="45"/>
  <c r="D18" i="45"/>
  <c r="D22" i="45"/>
  <c r="D20" i="45"/>
  <c r="P13" i="36"/>
  <c r="P13" i="42"/>
  <c r="B11" i="36"/>
  <c r="B10" i="36"/>
  <c r="B9" i="36"/>
  <c r="B8" i="36"/>
  <c r="B7" i="36"/>
  <c r="B6" i="36"/>
  <c r="B5" i="36"/>
  <c r="B4" i="36"/>
  <c r="B3" i="36"/>
  <c r="B11" i="42"/>
  <c r="B10" i="42"/>
  <c r="B9" i="42"/>
  <c r="B8" i="42"/>
  <c r="B7" i="42"/>
  <c r="B6" i="42"/>
  <c r="B5" i="42"/>
  <c r="B4" i="42"/>
  <c r="B3" i="42"/>
  <c r="O11" i="10"/>
  <c r="B9" i="10"/>
  <c r="B8" i="10"/>
  <c r="B7" i="10"/>
  <c r="B6" i="10"/>
  <c r="B5" i="10"/>
  <c r="B4" i="10"/>
  <c r="B3" i="10"/>
  <c r="O11" i="21"/>
  <c r="B9" i="21"/>
  <c r="B8" i="21"/>
  <c r="B7" i="21"/>
  <c r="B6" i="21"/>
  <c r="B5" i="21"/>
  <c r="B4" i="21"/>
  <c r="B3" i="21"/>
  <c r="P24" i="47"/>
  <c r="P22" i="45"/>
  <c r="P26" i="49"/>
  <c r="P21" i="46"/>
  <c r="P37" i="49"/>
  <c r="P21" i="47"/>
  <c r="P30" i="49"/>
  <c r="P31" i="49"/>
  <c r="P33" i="47"/>
  <c r="P18" i="46"/>
  <c r="P23" i="46"/>
  <c r="P23" i="49"/>
  <c r="P18" i="49"/>
  <c r="P25" i="49"/>
  <c r="P26" i="47"/>
  <c r="P27" i="49"/>
  <c r="P27" i="47"/>
  <c r="P24" i="46"/>
  <c r="P18" i="45"/>
  <c r="P39" i="49"/>
  <c r="P29" i="49"/>
  <c r="P38" i="49"/>
  <c r="P20" i="46"/>
  <c r="P27" i="46"/>
  <c r="P21" i="45"/>
  <c r="P28" i="47"/>
  <c r="P25" i="47"/>
  <c r="P36" i="49"/>
  <c r="P28" i="49"/>
  <c r="P22" i="49"/>
  <c r="P24" i="49"/>
  <c r="P26" i="46"/>
  <c r="P19" i="49"/>
  <c r="P20" i="45"/>
  <c r="P35" i="49"/>
  <c r="P19" i="45"/>
  <c r="P19" i="47"/>
  <c r="P25" i="46"/>
  <c r="P28" i="46"/>
  <c r="P34" i="47"/>
  <c r="P20" i="47"/>
  <c r="P19" i="46"/>
  <c r="P32" i="49"/>
  <c r="P22" i="47"/>
  <c r="P33" i="49"/>
  <c r="P32" i="47"/>
  <c r="P40" i="49"/>
  <c r="P30" i="47"/>
  <c r="P34" i="49"/>
  <c r="P22" i="46"/>
  <c r="P23" i="47"/>
  <c r="P20" i="49"/>
  <c r="P18" i="47"/>
  <c r="P21" i="49"/>
  <c r="P31" i="47"/>
  <c r="G5" i="49" l="1"/>
  <c r="H5" i="49" s="1"/>
  <c r="G6" i="49"/>
  <c r="H6" i="49" s="1"/>
  <c r="G4" i="49"/>
  <c r="H4" i="49" s="1"/>
  <c r="G4" i="47"/>
  <c r="G5" i="47"/>
  <c r="H5" i="47" s="1"/>
  <c r="G6" i="47"/>
  <c r="H6" i="47" s="1"/>
  <c r="G5" i="46"/>
  <c r="H5" i="46" s="1"/>
  <c r="G6" i="46"/>
  <c r="H6" i="46" s="1"/>
  <c r="G4" i="46"/>
  <c r="G6" i="45"/>
  <c r="G4" i="45"/>
  <c r="G5" i="45"/>
  <c r="I7" i="53"/>
  <c r="I4" i="53"/>
  <c r="F7" i="53"/>
  <c r="K7" i="53"/>
  <c r="K4" i="53"/>
  <c r="F4" i="53"/>
  <c r="I3" i="53"/>
  <c r="I6" i="53"/>
  <c r="F5" i="53"/>
  <c r="K5" i="53"/>
  <c r="F3" i="53"/>
  <c r="K3" i="53"/>
  <c r="I5" i="53"/>
  <c r="K6" i="53"/>
  <c r="F6" i="53"/>
  <c r="I3" i="52"/>
  <c r="K4" i="52"/>
  <c r="F4" i="52"/>
  <c r="K6" i="52"/>
  <c r="F6" i="52"/>
  <c r="F7" i="52"/>
  <c r="K7" i="52"/>
  <c r="I5" i="52"/>
  <c r="I6" i="52"/>
  <c r="I7" i="52"/>
  <c r="F3" i="52"/>
  <c r="K3" i="52"/>
  <c r="K5" i="52"/>
  <c r="F5" i="52"/>
  <c r="I4" i="52"/>
  <c r="I5" i="51"/>
  <c r="I4" i="51"/>
  <c r="F5" i="51"/>
  <c r="K5" i="51"/>
  <c r="I3" i="51"/>
  <c r="F3" i="51"/>
  <c r="K3" i="51"/>
  <c r="K4" i="51"/>
  <c r="F4" i="51"/>
  <c r="D4" i="49"/>
  <c r="E5" i="49"/>
  <c r="G13" i="49"/>
  <c r="I13" i="49" s="1"/>
  <c r="E3" i="49"/>
  <c r="D6" i="49"/>
  <c r="G14" i="49"/>
  <c r="I14" i="49" s="1"/>
  <c r="C4" i="49"/>
  <c r="G3" i="49"/>
  <c r="H3" i="49" s="1"/>
  <c r="D5" i="49"/>
  <c r="D3" i="49"/>
  <c r="E4" i="49"/>
  <c r="G11" i="49"/>
  <c r="I11" i="49" s="1"/>
  <c r="C5" i="49"/>
  <c r="C6" i="49"/>
  <c r="G12" i="49"/>
  <c r="I12" i="49" s="1"/>
  <c r="C3" i="49"/>
  <c r="E6" i="49"/>
  <c r="G12" i="46"/>
  <c r="I12" i="46" s="1"/>
  <c r="G13" i="46"/>
  <c r="I13" i="46" s="1"/>
  <c r="G14" i="46"/>
  <c r="I14" i="46" s="1"/>
  <c r="G11" i="46"/>
  <c r="I11" i="46" s="1"/>
  <c r="G12" i="47"/>
  <c r="I12" i="47" s="1"/>
  <c r="G13" i="47"/>
  <c r="I13" i="47" s="1"/>
  <c r="G14" i="47"/>
  <c r="I14" i="47" s="1"/>
  <c r="G11" i="47"/>
  <c r="I11" i="47" s="1"/>
  <c r="D4" i="47"/>
  <c r="E5" i="47"/>
  <c r="C6" i="47"/>
  <c r="E3" i="47"/>
  <c r="G3" i="47"/>
  <c r="H3" i="47" s="1"/>
  <c r="D3" i="47"/>
  <c r="D6" i="47"/>
  <c r="D5" i="47"/>
  <c r="H4" i="47"/>
  <c r="E4" i="47"/>
  <c r="E6" i="47"/>
  <c r="C3" i="47"/>
  <c r="C5" i="47"/>
  <c r="C4" i="47"/>
  <c r="G12" i="45"/>
  <c r="G13" i="45"/>
  <c r="G14" i="45"/>
  <c r="G11" i="45"/>
  <c r="E3" i="46"/>
  <c r="D6" i="46"/>
  <c r="C6" i="46"/>
  <c r="G3" i="46"/>
  <c r="H3" i="46" s="1"/>
  <c r="E4" i="46"/>
  <c r="H4" i="46"/>
  <c r="C4" i="46"/>
  <c r="E6" i="46"/>
  <c r="D5" i="46"/>
  <c r="D4" i="46"/>
  <c r="C5" i="46"/>
  <c r="C3" i="46"/>
  <c r="E5" i="46"/>
  <c r="D3" i="46"/>
  <c r="H5" i="45"/>
  <c r="C4" i="45"/>
  <c r="G3" i="45"/>
  <c r="H3" i="45" s="1"/>
  <c r="C6" i="45"/>
  <c r="C5" i="45"/>
  <c r="E4" i="45"/>
  <c r="C3" i="45"/>
  <c r="H4" i="45"/>
  <c r="E3" i="45"/>
  <c r="D5" i="45"/>
  <c r="D4" i="45"/>
  <c r="H6" i="45"/>
  <c r="D3" i="45"/>
  <c r="E6" i="45"/>
  <c r="E5" i="45"/>
  <c r="D6" i="45"/>
  <c r="B12" i="12"/>
  <c r="B11" i="12"/>
  <c r="B10" i="12"/>
  <c r="B9" i="12"/>
  <c r="B8" i="12"/>
  <c r="B7" i="12"/>
  <c r="B6" i="12"/>
  <c r="B5" i="12"/>
  <c r="B4" i="12"/>
  <c r="B3" i="12"/>
  <c r="O12" i="11"/>
  <c r="B10" i="11"/>
  <c r="B9" i="11"/>
  <c r="B8" i="11"/>
  <c r="B7" i="11"/>
  <c r="B6" i="11"/>
  <c r="B5" i="11"/>
  <c r="B4" i="11"/>
  <c r="B3" i="11"/>
  <c r="J5" i="51" l="1"/>
  <c r="L5" i="51" s="1"/>
  <c r="J4" i="51"/>
  <c r="L4" i="51" s="1"/>
  <c r="J3" i="51"/>
  <c r="L3" i="51" s="1"/>
  <c r="J3" i="53"/>
  <c r="L3" i="53" s="1"/>
  <c r="J4" i="53"/>
  <c r="L4" i="53" s="1"/>
  <c r="J5" i="53"/>
  <c r="L5" i="53" s="1"/>
  <c r="J7" i="53"/>
  <c r="L7" i="53" s="1"/>
  <c r="J6" i="53"/>
  <c r="L6" i="53" s="1"/>
  <c r="J3" i="52"/>
  <c r="L3" i="52" s="1"/>
  <c r="J4" i="52"/>
  <c r="L4" i="52" s="1"/>
  <c r="J5" i="52"/>
  <c r="L5" i="52" s="1"/>
  <c r="J7" i="52"/>
  <c r="L7" i="52" s="1"/>
  <c r="J6" i="52"/>
  <c r="L6" i="52" s="1"/>
  <c r="I6" i="49"/>
  <c r="K4" i="49"/>
  <c r="F4" i="49"/>
  <c r="I5" i="49"/>
  <c r="K3" i="49"/>
  <c r="F3" i="49"/>
  <c r="I4" i="49"/>
  <c r="F6" i="49"/>
  <c r="K6" i="49"/>
  <c r="K5" i="49"/>
  <c r="F5" i="49"/>
  <c r="I3" i="49"/>
  <c r="I6" i="47"/>
  <c r="I4" i="47"/>
  <c r="I3" i="47"/>
  <c r="F6" i="47"/>
  <c r="K6" i="47"/>
  <c r="F4" i="47"/>
  <c r="K4" i="47"/>
  <c r="K3" i="47"/>
  <c r="F3" i="47"/>
  <c r="I5" i="47"/>
  <c r="K5" i="47"/>
  <c r="F5" i="47"/>
  <c r="I5" i="46"/>
  <c r="F4" i="46"/>
  <c r="K4" i="46"/>
  <c r="I4" i="46"/>
  <c r="K3" i="46"/>
  <c r="F3" i="46"/>
  <c r="I6" i="46"/>
  <c r="F6" i="46"/>
  <c r="K6" i="46"/>
  <c r="K5" i="46"/>
  <c r="F5" i="46"/>
  <c r="I3" i="46"/>
  <c r="I6" i="45"/>
  <c r="K5" i="45"/>
  <c r="F5" i="45"/>
  <c r="F6" i="45"/>
  <c r="K6" i="45"/>
  <c r="I3" i="45"/>
  <c r="I5" i="45"/>
  <c r="F4" i="45"/>
  <c r="K4" i="45"/>
  <c r="K3" i="45"/>
  <c r="F3" i="45"/>
  <c r="I4" i="45"/>
  <c r="J4" i="45" l="1"/>
  <c r="L4" i="45" s="1"/>
  <c r="J3" i="45"/>
  <c r="L3" i="45" s="1"/>
  <c r="J6" i="45"/>
  <c r="L6" i="45" s="1"/>
  <c r="J5" i="45"/>
  <c r="L5" i="45" s="1"/>
  <c r="J6" i="46"/>
  <c r="L6" i="46" s="1"/>
  <c r="J3" i="46"/>
  <c r="L3" i="46" s="1"/>
  <c r="J5" i="46"/>
  <c r="L5" i="46" s="1"/>
  <c r="J4" i="46"/>
  <c r="L4" i="46" s="1"/>
  <c r="M4" i="53"/>
  <c r="M3" i="53"/>
  <c r="M7" i="53"/>
  <c r="M6" i="53"/>
  <c r="M5" i="53"/>
  <c r="M7" i="52"/>
  <c r="M4" i="52"/>
  <c r="M3" i="52"/>
  <c r="M5" i="52"/>
  <c r="M6" i="52"/>
  <c r="M5" i="51"/>
  <c r="M4" i="51"/>
  <c r="M3" i="51"/>
  <c r="J3" i="49"/>
  <c r="L3" i="49" s="1"/>
  <c r="J5" i="49"/>
  <c r="L5" i="49" s="1"/>
  <c r="J4" i="49"/>
  <c r="L4" i="49" s="1"/>
  <c r="J6" i="49"/>
  <c r="L6" i="49" s="1"/>
  <c r="J6" i="47"/>
  <c r="L6" i="47" s="1"/>
  <c r="J4" i="47"/>
  <c r="L4" i="47" s="1"/>
  <c r="J5" i="47"/>
  <c r="L5" i="47" s="1"/>
  <c r="J3" i="47"/>
  <c r="L3" i="47" s="1"/>
  <c r="P16" i="53" l="1"/>
  <c r="P15" i="53"/>
  <c r="P14" i="53"/>
  <c r="P13" i="53"/>
  <c r="P12" i="53"/>
  <c r="P16" i="52"/>
  <c r="P15" i="52"/>
  <c r="P14" i="52"/>
  <c r="P13" i="52"/>
  <c r="P12" i="52"/>
  <c r="P10" i="51"/>
  <c r="P11" i="51"/>
  <c r="P12" i="51"/>
  <c r="M4" i="49"/>
  <c r="M3" i="49"/>
  <c r="M5" i="49"/>
  <c r="M6" i="49"/>
  <c r="M6" i="47"/>
  <c r="M3" i="47"/>
  <c r="M5" i="47"/>
  <c r="M4" i="47"/>
  <c r="M4" i="46"/>
  <c r="M3" i="46"/>
  <c r="M5" i="46"/>
  <c r="M6" i="46"/>
  <c r="M6" i="45"/>
  <c r="M4" i="45"/>
  <c r="M5" i="45"/>
  <c r="M3" i="45"/>
  <c r="U12" i="53" l="1"/>
  <c r="G12" i="53"/>
  <c r="T12" i="53"/>
  <c r="S12" i="53"/>
  <c r="R12" i="53"/>
  <c r="W12" i="53"/>
  <c r="X12" i="53"/>
  <c r="V12" i="53"/>
  <c r="U13" i="53"/>
  <c r="G13" i="53"/>
  <c r="T13" i="53"/>
  <c r="S13" i="53"/>
  <c r="R13" i="53"/>
  <c r="W13" i="53"/>
  <c r="X13" i="53"/>
  <c r="V13" i="53"/>
  <c r="U14" i="53"/>
  <c r="G14" i="53"/>
  <c r="T14" i="53"/>
  <c r="S14" i="53"/>
  <c r="W14" i="53"/>
  <c r="R14" i="53"/>
  <c r="X14" i="53"/>
  <c r="V14" i="53"/>
  <c r="U15" i="53"/>
  <c r="G15" i="53"/>
  <c r="T15" i="53"/>
  <c r="S15" i="53"/>
  <c r="R15" i="53"/>
  <c r="W15" i="53"/>
  <c r="X15" i="53"/>
  <c r="V15" i="53"/>
  <c r="U16" i="53"/>
  <c r="G16" i="53"/>
  <c r="T16" i="53"/>
  <c r="W16" i="53"/>
  <c r="S16" i="53"/>
  <c r="R16" i="53"/>
  <c r="X16" i="53"/>
  <c r="V16" i="53"/>
  <c r="U12" i="52"/>
  <c r="G12" i="52"/>
  <c r="T12" i="52"/>
  <c r="S12" i="52"/>
  <c r="R12" i="52"/>
  <c r="W12" i="52"/>
  <c r="X12" i="52"/>
  <c r="V12" i="52"/>
  <c r="T13" i="52"/>
  <c r="S13" i="52"/>
  <c r="R13" i="52"/>
  <c r="V13" i="52"/>
  <c r="X13" i="52"/>
  <c r="W13" i="52"/>
  <c r="U13" i="52"/>
  <c r="G13" i="52"/>
  <c r="S14" i="52"/>
  <c r="R14" i="52"/>
  <c r="U14" i="52"/>
  <c r="X14" i="52"/>
  <c r="G14" i="52"/>
  <c r="W14" i="52"/>
  <c r="V14" i="52"/>
  <c r="T14" i="52"/>
  <c r="R15" i="52"/>
  <c r="X15" i="52"/>
  <c r="W15" i="52"/>
  <c r="V15" i="52"/>
  <c r="U15" i="52"/>
  <c r="G15" i="52"/>
  <c r="T15" i="52"/>
  <c r="S15" i="52"/>
  <c r="X16" i="52"/>
  <c r="W16" i="52"/>
  <c r="V16" i="52"/>
  <c r="U16" i="52"/>
  <c r="G16" i="52"/>
  <c r="T16" i="52"/>
  <c r="S16" i="52"/>
  <c r="R16" i="52"/>
  <c r="W12" i="51"/>
  <c r="V12" i="51"/>
  <c r="U12" i="51"/>
  <c r="E12" i="51"/>
  <c r="T12" i="51"/>
  <c r="S12" i="51"/>
  <c r="R12" i="51"/>
  <c r="X12" i="51"/>
  <c r="V11" i="51"/>
  <c r="W11" i="51"/>
  <c r="U11" i="51"/>
  <c r="E11" i="51"/>
  <c r="T11" i="51"/>
  <c r="S11" i="51"/>
  <c r="R11" i="51"/>
  <c r="X11" i="51"/>
  <c r="U10" i="51"/>
  <c r="E10" i="51"/>
  <c r="V10" i="51"/>
  <c r="T10" i="51"/>
  <c r="S10" i="51"/>
  <c r="R10" i="51"/>
  <c r="X10" i="51"/>
  <c r="W10" i="51"/>
  <c r="P13" i="49"/>
  <c r="P12" i="49"/>
  <c r="P14" i="49"/>
  <c r="P11" i="49"/>
  <c r="P13" i="47"/>
  <c r="P12" i="47"/>
  <c r="P14" i="47"/>
  <c r="P11" i="47"/>
  <c r="P13" i="46"/>
  <c r="P11" i="46"/>
  <c r="P12" i="46"/>
  <c r="P14" i="46"/>
  <c r="P14" i="45"/>
  <c r="P11" i="45"/>
  <c r="P12" i="45"/>
  <c r="P13" i="45"/>
  <c r="Y70" i="29"/>
  <c r="W11" i="49" l="1"/>
  <c r="V11" i="49"/>
  <c r="U11" i="49"/>
  <c r="T11" i="49"/>
  <c r="S11" i="49"/>
  <c r="F11" i="49"/>
  <c r="R11" i="49"/>
  <c r="X11" i="49"/>
  <c r="V14" i="49"/>
  <c r="U14" i="49"/>
  <c r="T14" i="49"/>
  <c r="S14" i="49"/>
  <c r="F14" i="49"/>
  <c r="R14" i="49"/>
  <c r="X14" i="49"/>
  <c r="W14" i="49"/>
  <c r="T12" i="49"/>
  <c r="S12" i="49"/>
  <c r="F12" i="49"/>
  <c r="V12" i="49"/>
  <c r="R12" i="49"/>
  <c r="X12" i="49"/>
  <c r="W12" i="49"/>
  <c r="U12" i="49"/>
  <c r="X13" i="49"/>
  <c r="W13" i="49"/>
  <c r="S13" i="49"/>
  <c r="F13" i="49"/>
  <c r="V13" i="49"/>
  <c r="U13" i="49"/>
  <c r="T13" i="49"/>
  <c r="R13" i="49"/>
  <c r="V14" i="47"/>
  <c r="U14" i="47"/>
  <c r="T14" i="47"/>
  <c r="S14" i="47"/>
  <c r="F14" i="47"/>
  <c r="R14" i="47"/>
  <c r="X14" i="47"/>
  <c r="W14" i="47"/>
  <c r="W11" i="47"/>
  <c r="V11" i="47"/>
  <c r="U11" i="47"/>
  <c r="X11" i="47"/>
  <c r="T11" i="47"/>
  <c r="S11" i="47"/>
  <c r="F11" i="47"/>
  <c r="R11" i="47"/>
  <c r="T12" i="47"/>
  <c r="S12" i="47"/>
  <c r="F12" i="47"/>
  <c r="R12" i="47"/>
  <c r="U12" i="47"/>
  <c r="X12" i="47"/>
  <c r="W12" i="47"/>
  <c r="V12" i="47"/>
  <c r="X13" i="47"/>
  <c r="W13" i="47"/>
  <c r="R13" i="47"/>
  <c r="V13" i="47"/>
  <c r="U13" i="47"/>
  <c r="T13" i="47"/>
  <c r="S13" i="47"/>
  <c r="F13" i="47"/>
  <c r="V14" i="46"/>
  <c r="U14" i="46"/>
  <c r="T14" i="46"/>
  <c r="S14" i="46"/>
  <c r="F14" i="46"/>
  <c r="R14" i="46"/>
  <c r="X14" i="46"/>
  <c r="W14" i="46"/>
  <c r="T12" i="46"/>
  <c r="S12" i="46"/>
  <c r="F12" i="46"/>
  <c r="R12" i="46"/>
  <c r="X12" i="46"/>
  <c r="W12" i="46"/>
  <c r="V12" i="46"/>
  <c r="U12" i="46"/>
  <c r="W11" i="46"/>
  <c r="V11" i="46"/>
  <c r="U11" i="46"/>
  <c r="T11" i="46"/>
  <c r="S11" i="46"/>
  <c r="F11" i="46"/>
  <c r="R11" i="46"/>
  <c r="X11" i="46"/>
  <c r="X13" i="46"/>
  <c r="S13" i="46"/>
  <c r="F13" i="46"/>
  <c r="W13" i="46"/>
  <c r="V13" i="46"/>
  <c r="U13" i="46"/>
  <c r="T13" i="46"/>
  <c r="R13" i="46"/>
  <c r="S13" i="45"/>
  <c r="R13" i="45"/>
  <c r="X13" i="45"/>
  <c r="W13" i="45"/>
  <c r="V13" i="45"/>
  <c r="U13" i="45"/>
  <c r="F13" i="45"/>
  <c r="T13" i="45"/>
  <c r="X11" i="45"/>
  <c r="S11" i="45"/>
  <c r="W11" i="45"/>
  <c r="R11" i="45"/>
  <c r="V11" i="45"/>
  <c r="U11" i="45"/>
  <c r="F11" i="45"/>
  <c r="T11" i="45"/>
  <c r="R12" i="45"/>
  <c r="S12" i="45"/>
  <c r="T12" i="45"/>
  <c r="X12" i="45"/>
  <c r="W12" i="45"/>
  <c r="V12" i="45"/>
  <c r="U12" i="45"/>
  <c r="F12" i="45"/>
  <c r="U14" i="45"/>
  <c r="F14" i="45"/>
  <c r="S14" i="45"/>
  <c r="T14" i="45"/>
  <c r="R14" i="45"/>
  <c r="X14" i="45"/>
  <c r="W14" i="45"/>
  <c r="V14" i="45"/>
  <c r="B4" i="29"/>
  <c r="B5" i="29"/>
  <c r="B6" i="29"/>
  <c r="B7" i="29"/>
  <c r="B8" i="29"/>
  <c r="B9" i="29"/>
  <c r="B10" i="29"/>
  <c r="B11" i="29"/>
  <c r="B12" i="29"/>
  <c r="B3" i="29"/>
  <c r="Q14" i="29"/>
  <c r="O12" i="28"/>
  <c r="I12" i="45" l="1"/>
  <c r="I13" i="45"/>
  <c r="I11" i="45"/>
  <c r="I14" i="45"/>
  <c r="B4" i="28"/>
  <c r="B5" i="28"/>
  <c r="B6" i="28"/>
  <c r="B7" i="28"/>
  <c r="B8" i="28"/>
  <c r="B9" i="28"/>
  <c r="B10" i="28"/>
  <c r="B3" i="28"/>
  <c r="Y66" i="42" l="1"/>
  <c r="X66" i="42"/>
  <c r="I66" i="42"/>
  <c r="H66" i="42"/>
  <c r="Y64" i="42"/>
  <c r="X64" i="42"/>
  <c r="I64" i="42"/>
  <c r="H64" i="42"/>
  <c r="X62" i="42"/>
  <c r="Y62" i="42" s="1"/>
  <c r="X61" i="42"/>
  <c r="Y61" i="42" s="1"/>
  <c r="X60" i="42"/>
  <c r="Y60" i="42" s="1"/>
  <c r="X59" i="42"/>
  <c r="Y59" i="42" s="1"/>
  <c r="X58" i="42"/>
  <c r="Y58" i="42" s="1"/>
  <c r="X57" i="42"/>
  <c r="Y57" i="42" s="1"/>
  <c r="X56" i="42"/>
  <c r="Y56" i="42" s="1"/>
  <c r="X55" i="42"/>
  <c r="Y55" i="42" s="1"/>
  <c r="X54" i="42"/>
  <c r="Y54" i="42" s="1"/>
  <c r="X53" i="42"/>
  <c r="Y53" i="42" s="1"/>
  <c r="X52" i="42"/>
  <c r="Y52" i="42" s="1"/>
  <c r="X51" i="42"/>
  <c r="Y51" i="42" s="1"/>
  <c r="X50" i="42"/>
  <c r="Y50" i="42" s="1"/>
  <c r="X49" i="42"/>
  <c r="Y49" i="42" s="1"/>
  <c r="X48" i="42"/>
  <c r="Y48" i="42" s="1"/>
  <c r="X47" i="42"/>
  <c r="Y47" i="42" s="1"/>
  <c r="X46" i="42"/>
  <c r="Y46" i="42" s="1"/>
  <c r="X45" i="42"/>
  <c r="Y45" i="42" s="1"/>
  <c r="X44" i="42"/>
  <c r="Y44" i="42" s="1"/>
  <c r="X43" i="42"/>
  <c r="Y43" i="42" s="1"/>
  <c r="X42" i="42"/>
  <c r="Y42" i="42" s="1"/>
  <c r="X41" i="42"/>
  <c r="Y41" i="42" s="1"/>
  <c r="X40" i="42"/>
  <c r="Y40" i="42" s="1"/>
  <c r="X39" i="42"/>
  <c r="Y39" i="42" s="1"/>
  <c r="X38" i="42"/>
  <c r="Y38" i="42" s="1"/>
  <c r="X37" i="42"/>
  <c r="Y37" i="42" s="1"/>
  <c r="X36" i="42"/>
  <c r="Y36" i="42" s="1"/>
  <c r="X35" i="42"/>
  <c r="Y35" i="42" s="1"/>
  <c r="X34" i="42"/>
  <c r="Y34" i="42" s="1"/>
  <c r="X33" i="42"/>
  <c r="Y33" i="42" s="1"/>
  <c r="X32" i="42"/>
  <c r="Y32" i="42" s="1"/>
  <c r="J32" i="42"/>
  <c r="X31" i="42"/>
  <c r="Y31" i="42" s="1"/>
  <c r="X30" i="42"/>
  <c r="Y30" i="42" s="1"/>
  <c r="X29" i="42"/>
  <c r="Y29" i="42" s="1"/>
  <c r="X28" i="42"/>
  <c r="Y28" i="42" s="1"/>
  <c r="J28" i="42"/>
  <c r="K28" i="42" s="1"/>
  <c r="X27" i="42"/>
  <c r="Y27" i="42" s="1"/>
  <c r="E13" i="42"/>
  <c r="Y102" i="36"/>
  <c r="X102" i="36"/>
  <c r="I102" i="36"/>
  <c r="H102" i="36"/>
  <c r="Y100" i="36"/>
  <c r="X100" i="36"/>
  <c r="I100" i="36"/>
  <c r="H100" i="36"/>
  <c r="X98" i="36"/>
  <c r="Y98" i="36" s="1"/>
  <c r="X97" i="36"/>
  <c r="Y97" i="36" s="1"/>
  <c r="X96" i="36"/>
  <c r="Y96" i="36" s="1"/>
  <c r="X95" i="36"/>
  <c r="Y95" i="36" s="1"/>
  <c r="X94" i="36"/>
  <c r="Y94" i="36" s="1"/>
  <c r="X93" i="36"/>
  <c r="Y93" i="36" s="1"/>
  <c r="X92" i="36"/>
  <c r="Y92" i="36" s="1"/>
  <c r="X91" i="36"/>
  <c r="Y91" i="36" s="1"/>
  <c r="X90" i="36"/>
  <c r="Y90" i="36" s="1"/>
  <c r="X89" i="36"/>
  <c r="Y89" i="36" s="1"/>
  <c r="X88" i="36"/>
  <c r="Y88" i="36" s="1"/>
  <c r="X87" i="36"/>
  <c r="Y87" i="36" s="1"/>
  <c r="X86" i="36"/>
  <c r="Y86" i="36" s="1"/>
  <c r="X85" i="36"/>
  <c r="Y85" i="36" s="1"/>
  <c r="X84" i="36"/>
  <c r="Y84" i="36" s="1"/>
  <c r="X83" i="36"/>
  <c r="Y83" i="36" s="1"/>
  <c r="X82" i="36"/>
  <c r="Y82" i="36" s="1"/>
  <c r="X81" i="36"/>
  <c r="Y81" i="36" s="1"/>
  <c r="X80" i="36"/>
  <c r="Y80" i="36" s="1"/>
  <c r="X79" i="36"/>
  <c r="Y79" i="36" s="1"/>
  <c r="X78" i="36"/>
  <c r="Y78" i="36" s="1"/>
  <c r="X77" i="36"/>
  <c r="Y77" i="36" s="1"/>
  <c r="X76" i="36"/>
  <c r="Y76" i="36" s="1"/>
  <c r="X75" i="36"/>
  <c r="Y75" i="36" s="1"/>
  <c r="X74" i="36"/>
  <c r="Y74" i="36" s="1"/>
  <c r="X73" i="36"/>
  <c r="Y73" i="36" s="1"/>
  <c r="X72" i="36"/>
  <c r="Y72" i="36" s="1"/>
  <c r="X71" i="36"/>
  <c r="Y71" i="36" s="1"/>
  <c r="X70" i="36"/>
  <c r="Y70" i="36" s="1"/>
  <c r="X69" i="36"/>
  <c r="Y69" i="36" s="1"/>
  <c r="X68" i="36"/>
  <c r="Y68" i="36" s="1"/>
  <c r="X67" i="36"/>
  <c r="Y67" i="36" s="1"/>
  <c r="X66" i="36"/>
  <c r="Y66" i="36" s="1"/>
  <c r="X65" i="36"/>
  <c r="Y65" i="36" s="1"/>
  <c r="X64" i="36"/>
  <c r="Y64" i="36" s="1"/>
  <c r="X63" i="36"/>
  <c r="Y63" i="36" s="1"/>
  <c r="X62" i="36"/>
  <c r="Y62" i="36" s="1"/>
  <c r="X61" i="36"/>
  <c r="Y61" i="36" s="1"/>
  <c r="X60" i="36"/>
  <c r="Y60" i="36" s="1"/>
  <c r="X59" i="36"/>
  <c r="Y59" i="36" s="1"/>
  <c r="X58" i="36"/>
  <c r="Y58" i="36" s="1"/>
  <c r="X57" i="36"/>
  <c r="Y57" i="36" s="1"/>
  <c r="X56" i="36"/>
  <c r="Y56" i="36" s="1"/>
  <c r="X55" i="36"/>
  <c r="Y55" i="36" s="1"/>
  <c r="X54" i="36"/>
  <c r="Y54" i="36" s="1"/>
  <c r="X53" i="36"/>
  <c r="Y53" i="36" s="1"/>
  <c r="X52" i="36"/>
  <c r="Y52" i="36" s="1"/>
  <c r="X51" i="36"/>
  <c r="Y51" i="36" s="1"/>
  <c r="X50" i="36"/>
  <c r="Y50" i="36" s="1"/>
  <c r="X49" i="36"/>
  <c r="Y49" i="36" s="1"/>
  <c r="X48" i="36"/>
  <c r="Y48" i="36" s="1"/>
  <c r="X47" i="36"/>
  <c r="Y47" i="36" s="1"/>
  <c r="X46" i="36"/>
  <c r="Y46" i="36" s="1"/>
  <c r="X45" i="36"/>
  <c r="Y45" i="36" s="1"/>
  <c r="X44" i="36"/>
  <c r="Y44" i="36" s="1"/>
  <c r="X43" i="36"/>
  <c r="Y43" i="36" s="1"/>
  <c r="X42" i="36"/>
  <c r="Y42" i="36" s="1"/>
  <c r="X41" i="36"/>
  <c r="Y41" i="36" s="1"/>
  <c r="X40" i="36"/>
  <c r="Y40" i="36" s="1"/>
  <c r="X39" i="36"/>
  <c r="Y39" i="36" s="1"/>
  <c r="X38" i="36"/>
  <c r="Y38" i="36" s="1"/>
  <c r="X37" i="36"/>
  <c r="Y37" i="36" s="1"/>
  <c r="X36" i="36"/>
  <c r="Y36" i="36" s="1"/>
  <c r="X35" i="36"/>
  <c r="Y35" i="36" s="1"/>
  <c r="X34" i="36"/>
  <c r="Y34" i="36" s="1"/>
  <c r="X33" i="36"/>
  <c r="Y33" i="36" s="1"/>
  <c r="X32" i="36"/>
  <c r="Y32" i="36" s="1"/>
  <c r="J32" i="36"/>
  <c r="K32" i="36" s="1"/>
  <c r="X31" i="36"/>
  <c r="Y31" i="36" s="1"/>
  <c r="X30" i="36"/>
  <c r="Y30" i="36" s="1"/>
  <c r="X29" i="36"/>
  <c r="Y29" i="36" s="1"/>
  <c r="X28" i="36"/>
  <c r="Y28" i="36" s="1"/>
  <c r="J28" i="36"/>
  <c r="K28" i="36" s="1"/>
  <c r="X27" i="36"/>
  <c r="Y27" i="36" s="1"/>
  <c r="E13" i="36"/>
  <c r="G36" i="42" l="1"/>
  <c r="H36" i="42" s="1"/>
  <c r="G27" i="42"/>
  <c r="H27" i="42" s="1"/>
  <c r="F60" i="42"/>
  <c r="I60" i="42" s="1"/>
  <c r="F59" i="42"/>
  <c r="I59" i="42" s="1"/>
  <c r="F58" i="42"/>
  <c r="I58" i="42" s="1"/>
  <c r="F57" i="42"/>
  <c r="I57" i="42" s="1"/>
  <c r="F56" i="42"/>
  <c r="I56" i="42" s="1"/>
  <c r="F55" i="42"/>
  <c r="I55" i="42" s="1"/>
  <c r="F54" i="42"/>
  <c r="I54" i="42" s="1"/>
  <c r="F53" i="42"/>
  <c r="I53" i="42" s="1"/>
  <c r="G42" i="42"/>
  <c r="H42" i="42" s="1"/>
  <c r="G62" i="42"/>
  <c r="H62" i="42" s="1"/>
  <c r="G47" i="42"/>
  <c r="H47" i="42" s="1"/>
  <c r="G46" i="42"/>
  <c r="H46" i="42" s="1"/>
  <c r="G45" i="42"/>
  <c r="H45" i="42" s="1"/>
  <c r="G44" i="42"/>
  <c r="H44" i="42" s="1"/>
  <c r="G43" i="42"/>
  <c r="H43" i="42" s="1"/>
  <c r="F42" i="42"/>
  <c r="I42" i="42" s="1"/>
  <c r="F41" i="42"/>
  <c r="I41" i="42" s="1"/>
  <c r="F62" i="42"/>
  <c r="I62" i="42" s="1"/>
  <c r="F52" i="42"/>
  <c r="I52" i="42" s="1"/>
  <c r="F50" i="42"/>
  <c r="I50" i="42" s="1"/>
  <c r="F48" i="42"/>
  <c r="I48" i="42" s="1"/>
  <c r="G40" i="42"/>
  <c r="H40" i="42" s="1"/>
  <c r="G39" i="42"/>
  <c r="H39" i="42" s="1"/>
  <c r="G38" i="42"/>
  <c r="H38" i="42" s="1"/>
  <c r="F37" i="42"/>
  <c r="I37" i="42" s="1"/>
  <c r="F36" i="42"/>
  <c r="I36" i="42" s="1"/>
  <c r="F35" i="42"/>
  <c r="I35" i="42" s="1"/>
  <c r="F34" i="42"/>
  <c r="I34" i="42" s="1"/>
  <c r="F33" i="42"/>
  <c r="I33" i="42" s="1"/>
  <c r="F27" i="42"/>
  <c r="I27" i="42" s="1"/>
  <c r="G61" i="42"/>
  <c r="H61" i="42" s="1"/>
  <c r="G59" i="42"/>
  <c r="H59" i="42" s="1"/>
  <c r="G57" i="42"/>
  <c r="H57" i="42" s="1"/>
  <c r="G55" i="42"/>
  <c r="H55" i="42" s="1"/>
  <c r="G51" i="42"/>
  <c r="H51" i="42" s="1"/>
  <c r="G49" i="42"/>
  <c r="H49" i="42" s="1"/>
  <c r="F47" i="42"/>
  <c r="I47" i="42" s="1"/>
  <c r="F46" i="42"/>
  <c r="I46" i="42" s="1"/>
  <c r="F45" i="42"/>
  <c r="I45" i="42" s="1"/>
  <c r="F44" i="42"/>
  <c r="I44" i="42" s="1"/>
  <c r="F43" i="42"/>
  <c r="I43" i="42" s="1"/>
  <c r="G41" i="42"/>
  <c r="H41" i="42" s="1"/>
  <c r="F40" i="42"/>
  <c r="I40" i="42" s="1"/>
  <c r="F39" i="42"/>
  <c r="I39" i="42" s="1"/>
  <c r="F38" i="42"/>
  <c r="I38" i="42" s="1"/>
  <c r="F61" i="42"/>
  <c r="I61" i="42" s="1"/>
  <c r="G53" i="42"/>
  <c r="H53" i="42" s="1"/>
  <c r="F51" i="42"/>
  <c r="I51" i="42" s="1"/>
  <c r="F49" i="42"/>
  <c r="I49" i="42" s="1"/>
  <c r="G32" i="42"/>
  <c r="H32" i="42" s="1"/>
  <c r="G31" i="42"/>
  <c r="H31" i="42" s="1"/>
  <c r="G30" i="42"/>
  <c r="H30" i="42" s="1"/>
  <c r="G29" i="42"/>
  <c r="H29" i="42" s="1"/>
  <c r="G28" i="42"/>
  <c r="H28" i="42" s="1"/>
  <c r="G35" i="42"/>
  <c r="H35" i="42" s="1"/>
  <c r="G48" i="42"/>
  <c r="H48" i="42" s="1"/>
  <c r="G54" i="42"/>
  <c r="H54" i="42" s="1"/>
  <c r="G56" i="42"/>
  <c r="H56" i="42" s="1"/>
  <c r="G58" i="42"/>
  <c r="H58" i="42" s="1"/>
  <c r="G60" i="42"/>
  <c r="H60" i="42" s="1"/>
  <c r="J29" i="42"/>
  <c r="J37" i="42"/>
  <c r="J33" i="42"/>
  <c r="K32" i="42"/>
  <c r="G33" i="42"/>
  <c r="H33" i="42" s="1"/>
  <c r="G34" i="42"/>
  <c r="H34" i="42" s="1"/>
  <c r="F28" i="42"/>
  <c r="I28" i="42" s="1"/>
  <c r="F29" i="42"/>
  <c r="I29" i="42" s="1"/>
  <c r="F30" i="42"/>
  <c r="I30" i="42" s="1"/>
  <c r="F31" i="42"/>
  <c r="I31" i="42" s="1"/>
  <c r="F32" i="42"/>
  <c r="I32" i="42" s="1"/>
  <c r="G37" i="42"/>
  <c r="H37" i="42" s="1"/>
  <c r="G50" i="42"/>
  <c r="H50" i="42" s="1"/>
  <c r="G52" i="42"/>
  <c r="H52" i="42" s="1"/>
  <c r="J33" i="36"/>
  <c r="K33" i="36" s="1"/>
  <c r="G55" i="36"/>
  <c r="H55" i="36" s="1"/>
  <c r="F40" i="36"/>
  <c r="I40" i="36" s="1"/>
  <c r="G45" i="36"/>
  <c r="H45" i="36" s="1"/>
  <c r="G63" i="36"/>
  <c r="H63" i="36" s="1"/>
  <c r="G98" i="36"/>
  <c r="H98" i="36" s="1"/>
  <c r="F95" i="36"/>
  <c r="I95" i="36" s="1"/>
  <c r="G94" i="36"/>
  <c r="H94" i="36" s="1"/>
  <c r="F91" i="36"/>
  <c r="I91" i="36" s="1"/>
  <c r="G90" i="36"/>
  <c r="H90" i="36" s="1"/>
  <c r="G52" i="36"/>
  <c r="H52" i="36" s="1"/>
  <c r="G51" i="36"/>
  <c r="H51" i="36" s="1"/>
  <c r="G50" i="36"/>
  <c r="H50" i="36" s="1"/>
  <c r="F98" i="36"/>
  <c r="I98" i="36" s="1"/>
  <c r="G97" i="36"/>
  <c r="H97" i="36" s="1"/>
  <c r="F94" i="36"/>
  <c r="I94" i="36" s="1"/>
  <c r="G93" i="36"/>
  <c r="H93" i="36" s="1"/>
  <c r="F90" i="36"/>
  <c r="I90" i="36" s="1"/>
  <c r="G89" i="36"/>
  <c r="H89" i="36" s="1"/>
  <c r="G88" i="36"/>
  <c r="H88" i="36" s="1"/>
  <c r="G87" i="36"/>
  <c r="H87" i="36" s="1"/>
  <c r="G86" i="36"/>
  <c r="H86" i="36" s="1"/>
  <c r="G85" i="36"/>
  <c r="H85" i="36" s="1"/>
  <c r="G84" i="36"/>
  <c r="H84" i="36" s="1"/>
  <c r="G83" i="36"/>
  <c r="H83" i="36" s="1"/>
  <c r="G82" i="36"/>
  <c r="H82" i="36" s="1"/>
  <c r="F97" i="36"/>
  <c r="I97" i="36" s="1"/>
  <c r="G96" i="36"/>
  <c r="H96" i="36" s="1"/>
  <c r="F93" i="36"/>
  <c r="I93" i="36" s="1"/>
  <c r="G92" i="36"/>
  <c r="H92" i="36" s="1"/>
  <c r="F89" i="36"/>
  <c r="I89" i="36" s="1"/>
  <c r="F88" i="36"/>
  <c r="I88" i="36" s="1"/>
  <c r="F87" i="36"/>
  <c r="I87" i="36" s="1"/>
  <c r="F86" i="36"/>
  <c r="I86" i="36" s="1"/>
  <c r="F85" i="36"/>
  <c r="I85" i="36" s="1"/>
  <c r="F84" i="36"/>
  <c r="I84" i="36" s="1"/>
  <c r="F83" i="36"/>
  <c r="I83" i="36" s="1"/>
  <c r="F82" i="36"/>
  <c r="I82" i="36" s="1"/>
  <c r="F81" i="36"/>
  <c r="I81" i="36" s="1"/>
  <c r="G95" i="36"/>
  <c r="H95" i="36" s="1"/>
  <c r="G91" i="36"/>
  <c r="H91" i="36" s="1"/>
  <c r="G81" i="36"/>
  <c r="H81" i="36" s="1"/>
  <c r="G80" i="36"/>
  <c r="H80" i="36" s="1"/>
  <c r="F77" i="36"/>
  <c r="I77" i="36" s="1"/>
  <c r="G76" i="36"/>
  <c r="H76" i="36" s="1"/>
  <c r="F73" i="36"/>
  <c r="I73" i="36" s="1"/>
  <c r="G72" i="36"/>
  <c r="H72" i="36" s="1"/>
  <c r="F69" i="36"/>
  <c r="I69" i="36" s="1"/>
  <c r="G68" i="36"/>
  <c r="H68" i="36" s="1"/>
  <c r="F65" i="36"/>
  <c r="I65" i="36" s="1"/>
  <c r="G64" i="36"/>
  <c r="H64" i="36" s="1"/>
  <c r="F96" i="36"/>
  <c r="I96" i="36" s="1"/>
  <c r="F92" i="36"/>
  <c r="I92" i="36" s="1"/>
  <c r="F80" i="36"/>
  <c r="I80" i="36" s="1"/>
  <c r="G79" i="36"/>
  <c r="H79" i="36" s="1"/>
  <c r="F76" i="36"/>
  <c r="I76" i="36" s="1"/>
  <c r="G75" i="36"/>
  <c r="H75" i="36" s="1"/>
  <c r="F72" i="36"/>
  <c r="I72" i="36" s="1"/>
  <c r="G71" i="36"/>
  <c r="H71" i="36" s="1"/>
  <c r="F68" i="36"/>
  <c r="I68" i="36" s="1"/>
  <c r="F79" i="36"/>
  <c r="I79" i="36" s="1"/>
  <c r="G78" i="36"/>
  <c r="H78" i="36" s="1"/>
  <c r="F75" i="36"/>
  <c r="I75" i="36" s="1"/>
  <c r="G74" i="36"/>
  <c r="H74" i="36" s="1"/>
  <c r="F71" i="36"/>
  <c r="I71" i="36" s="1"/>
  <c r="G70" i="36"/>
  <c r="H70" i="36" s="1"/>
  <c r="F67" i="36"/>
  <c r="I67" i="36" s="1"/>
  <c r="G66" i="36"/>
  <c r="H66" i="36" s="1"/>
  <c r="F63" i="36"/>
  <c r="I63" i="36" s="1"/>
  <c r="G62" i="36"/>
  <c r="H62" i="36" s="1"/>
  <c r="F59" i="36"/>
  <c r="I59" i="36" s="1"/>
  <c r="G58" i="36"/>
  <c r="H58" i="36" s="1"/>
  <c r="F55" i="36"/>
  <c r="I55" i="36" s="1"/>
  <c r="G54" i="36"/>
  <c r="H54" i="36" s="1"/>
  <c r="F51" i="36"/>
  <c r="I51" i="36" s="1"/>
  <c r="G49" i="36"/>
  <c r="H49" i="36" s="1"/>
  <c r="F78" i="36"/>
  <c r="I78" i="36" s="1"/>
  <c r="G77" i="36"/>
  <c r="H77" i="36" s="1"/>
  <c r="F74" i="36"/>
  <c r="I74" i="36" s="1"/>
  <c r="G73" i="36"/>
  <c r="H73" i="36" s="1"/>
  <c r="F70" i="36"/>
  <c r="I70" i="36" s="1"/>
  <c r="G61" i="36"/>
  <c r="H61" i="36" s="1"/>
  <c r="G60" i="36"/>
  <c r="H60" i="36" s="1"/>
  <c r="G57" i="36"/>
  <c r="H57" i="36" s="1"/>
  <c r="G56" i="36"/>
  <c r="H56" i="36" s="1"/>
  <c r="G48" i="36"/>
  <c r="H48" i="36" s="1"/>
  <c r="F47" i="36"/>
  <c r="I47" i="36" s="1"/>
  <c r="F46" i="36"/>
  <c r="I46" i="36" s="1"/>
  <c r="F45" i="36"/>
  <c r="I45" i="36" s="1"/>
  <c r="F44" i="36"/>
  <c r="I44" i="36" s="1"/>
  <c r="F43" i="36"/>
  <c r="I43" i="36" s="1"/>
  <c r="G32" i="36"/>
  <c r="H32" i="36" s="1"/>
  <c r="G31" i="36"/>
  <c r="H31" i="36" s="1"/>
  <c r="G30" i="36"/>
  <c r="H30" i="36" s="1"/>
  <c r="G29" i="36"/>
  <c r="H29" i="36" s="1"/>
  <c r="G28" i="36"/>
  <c r="H28" i="36" s="1"/>
  <c r="G67" i="36"/>
  <c r="H67" i="36" s="1"/>
  <c r="F64" i="36"/>
  <c r="I64" i="36" s="1"/>
  <c r="F61" i="36"/>
  <c r="I61" i="36" s="1"/>
  <c r="F60" i="36"/>
  <c r="I60" i="36" s="1"/>
  <c r="F57" i="36"/>
  <c r="I57" i="36" s="1"/>
  <c r="F56" i="36"/>
  <c r="I56" i="36" s="1"/>
  <c r="G53" i="36"/>
  <c r="H53" i="36" s="1"/>
  <c r="F52" i="36"/>
  <c r="I52" i="36" s="1"/>
  <c r="F50" i="36"/>
  <c r="I50" i="36" s="1"/>
  <c r="F48" i="36"/>
  <c r="I48" i="36" s="1"/>
  <c r="G37" i="36"/>
  <c r="H37" i="36" s="1"/>
  <c r="G36" i="36"/>
  <c r="H36" i="36" s="1"/>
  <c r="G35" i="36"/>
  <c r="H35" i="36" s="1"/>
  <c r="G34" i="36"/>
  <c r="H34" i="36" s="1"/>
  <c r="G33" i="36"/>
  <c r="H33" i="36" s="1"/>
  <c r="F32" i="36"/>
  <c r="I32" i="36" s="1"/>
  <c r="F31" i="36"/>
  <c r="I31" i="36" s="1"/>
  <c r="F30" i="36"/>
  <c r="I30" i="36" s="1"/>
  <c r="F29" i="36"/>
  <c r="I29" i="36" s="1"/>
  <c r="F28" i="36"/>
  <c r="I28" i="36" s="1"/>
  <c r="G27" i="36"/>
  <c r="H27" i="36" s="1"/>
  <c r="G69" i="36"/>
  <c r="H69" i="36" s="1"/>
  <c r="F62" i="36"/>
  <c r="I62" i="36" s="1"/>
  <c r="F58" i="36"/>
  <c r="I58" i="36" s="1"/>
  <c r="F54" i="36"/>
  <c r="I54" i="36" s="1"/>
  <c r="F53" i="36"/>
  <c r="I53" i="36" s="1"/>
  <c r="F49" i="36"/>
  <c r="I49" i="36" s="1"/>
  <c r="G42" i="36"/>
  <c r="H42" i="36" s="1"/>
  <c r="G41" i="36"/>
  <c r="H41" i="36" s="1"/>
  <c r="G40" i="36"/>
  <c r="H40" i="36" s="1"/>
  <c r="G39" i="36"/>
  <c r="H39" i="36" s="1"/>
  <c r="G38" i="36"/>
  <c r="H38" i="36" s="1"/>
  <c r="F37" i="36"/>
  <c r="I37" i="36" s="1"/>
  <c r="F36" i="36"/>
  <c r="I36" i="36" s="1"/>
  <c r="F35" i="36"/>
  <c r="I35" i="36" s="1"/>
  <c r="F34" i="36"/>
  <c r="I34" i="36" s="1"/>
  <c r="F33" i="36"/>
  <c r="I33" i="36" s="1"/>
  <c r="F27" i="36"/>
  <c r="I27" i="36" s="1"/>
  <c r="F41" i="36"/>
  <c r="I41" i="36" s="1"/>
  <c r="G43" i="36"/>
  <c r="H43" i="36" s="1"/>
  <c r="G44" i="36"/>
  <c r="H44" i="36" s="1"/>
  <c r="G65" i="36"/>
  <c r="H65" i="36" s="1"/>
  <c r="F42" i="36"/>
  <c r="I42" i="36" s="1"/>
  <c r="G47" i="36"/>
  <c r="H47" i="36" s="1"/>
  <c r="G59" i="36"/>
  <c r="H59" i="36" s="1"/>
  <c r="F38" i="36"/>
  <c r="I38" i="36" s="1"/>
  <c r="F39" i="36"/>
  <c r="I39" i="36" s="1"/>
  <c r="G46" i="36"/>
  <c r="H46" i="36" s="1"/>
  <c r="F66" i="36"/>
  <c r="I66" i="36" s="1"/>
  <c r="J34" i="36"/>
  <c r="J37" i="36"/>
  <c r="J29" i="36"/>
  <c r="B2" i="35"/>
  <c r="B10" i="35"/>
  <c r="D33" i="42" l="1"/>
  <c r="J34" i="42"/>
  <c r="K33" i="42"/>
  <c r="D30" i="42"/>
  <c r="D59" i="42"/>
  <c r="D40" i="42"/>
  <c r="D50" i="42"/>
  <c r="J42" i="42"/>
  <c r="J38" i="42"/>
  <c r="K37" i="42"/>
  <c r="D56" i="42"/>
  <c r="D31" i="42"/>
  <c r="D53" i="42"/>
  <c r="D51" i="42"/>
  <c r="D61" i="42"/>
  <c r="D43" i="42"/>
  <c r="D47" i="42"/>
  <c r="D52" i="42"/>
  <c r="D58" i="42"/>
  <c r="D37" i="42"/>
  <c r="K29" i="42"/>
  <c r="J30" i="42"/>
  <c r="D54" i="42"/>
  <c r="D28" i="42"/>
  <c r="D32" i="42"/>
  <c r="D41" i="42"/>
  <c r="D55" i="42"/>
  <c r="D38" i="42"/>
  <c r="D44" i="42"/>
  <c r="D62" i="42"/>
  <c r="D35" i="42"/>
  <c r="D49" i="42"/>
  <c r="D46" i="42"/>
  <c r="D42" i="42"/>
  <c r="D34" i="42"/>
  <c r="D60" i="42"/>
  <c r="D48" i="42"/>
  <c r="D29" i="42"/>
  <c r="D57" i="42"/>
  <c r="D39" i="42"/>
  <c r="D45" i="42"/>
  <c r="D36" i="42"/>
  <c r="D55" i="36"/>
  <c r="K34" i="36"/>
  <c r="J35" i="36"/>
  <c r="D43" i="36"/>
  <c r="D42" i="36"/>
  <c r="D49" i="36"/>
  <c r="D74" i="36"/>
  <c r="D87" i="36"/>
  <c r="D50" i="36"/>
  <c r="D45" i="36"/>
  <c r="D33" i="36"/>
  <c r="D37" i="36"/>
  <c r="D53" i="36"/>
  <c r="D29" i="36"/>
  <c r="D60" i="36"/>
  <c r="D71" i="36"/>
  <c r="D79" i="36"/>
  <c r="D64" i="36"/>
  <c r="D72" i="36"/>
  <c r="D80" i="36"/>
  <c r="D96" i="36"/>
  <c r="D84" i="36"/>
  <c r="D88" i="36"/>
  <c r="D51" i="36"/>
  <c r="D94" i="36"/>
  <c r="D38" i="36"/>
  <c r="D32" i="36"/>
  <c r="D73" i="36"/>
  <c r="D66" i="36"/>
  <c r="D83" i="36"/>
  <c r="D39" i="36"/>
  <c r="K29" i="36"/>
  <c r="J30" i="36"/>
  <c r="D46" i="36"/>
  <c r="D59" i="36"/>
  <c r="D65" i="36"/>
  <c r="D40" i="36"/>
  <c r="D69" i="36"/>
  <c r="D34" i="36"/>
  <c r="D30" i="36"/>
  <c r="D48" i="36"/>
  <c r="D61" i="36"/>
  <c r="D77" i="36"/>
  <c r="D54" i="36"/>
  <c r="D62" i="36"/>
  <c r="D70" i="36"/>
  <c r="D78" i="36"/>
  <c r="D81" i="36"/>
  <c r="D85" i="36"/>
  <c r="D89" i="36"/>
  <c r="D97" i="36"/>
  <c r="D52" i="36"/>
  <c r="D36" i="36"/>
  <c r="D28" i="36"/>
  <c r="D57" i="36"/>
  <c r="D58" i="36"/>
  <c r="D95" i="36"/>
  <c r="D93" i="36"/>
  <c r="K37" i="36"/>
  <c r="J42" i="36"/>
  <c r="J38" i="36"/>
  <c r="D47" i="36"/>
  <c r="D44" i="36"/>
  <c r="D41" i="36"/>
  <c r="D35" i="36"/>
  <c r="D67" i="36"/>
  <c r="D31" i="36"/>
  <c r="D56" i="36"/>
  <c r="D75" i="36"/>
  <c r="D68" i="36"/>
  <c r="D76" i="36"/>
  <c r="D91" i="36"/>
  <c r="D92" i="36"/>
  <c r="D82" i="36"/>
  <c r="D86" i="36"/>
  <c r="D90" i="36"/>
  <c r="D98" i="36"/>
  <c r="D63" i="36"/>
  <c r="K38" i="42" l="1"/>
  <c r="J39" i="42"/>
  <c r="K42" i="42"/>
  <c r="J47" i="42"/>
  <c r="J43" i="42"/>
  <c r="K30" i="42"/>
  <c r="J31" i="42"/>
  <c r="K31" i="42" s="1"/>
  <c r="J35" i="42"/>
  <c r="K34" i="42"/>
  <c r="K38" i="36"/>
  <c r="J39" i="36"/>
  <c r="J47" i="36"/>
  <c r="J43" i="36"/>
  <c r="K42" i="36"/>
  <c r="K30" i="36"/>
  <c r="J31" i="36"/>
  <c r="K31" i="36" s="1"/>
  <c r="K35" i="36"/>
  <c r="J36" i="36"/>
  <c r="K36" i="36" s="1"/>
  <c r="Z77" i="29"/>
  <c r="Y77" i="29"/>
  <c r="I77" i="29"/>
  <c r="H77" i="29"/>
  <c r="Z75" i="29"/>
  <c r="Y75" i="29"/>
  <c r="H75" i="29"/>
  <c r="I75" i="29" s="1"/>
  <c r="Y73" i="29"/>
  <c r="Z73" i="29" s="1"/>
  <c r="Y72" i="29"/>
  <c r="Z72" i="29" s="1"/>
  <c r="Y71" i="29"/>
  <c r="Z71" i="29" s="1"/>
  <c r="Z70" i="29"/>
  <c r="Y69" i="29"/>
  <c r="Z69" i="29" s="1"/>
  <c r="Y68" i="29"/>
  <c r="Z68" i="29" s="1"/>
  <c r="Y67" i="29"/>
  <c r="Z67" i="29" s="1"/>
  <c r="Y66" i="29"/>
  <c r="Z66" i="29" s="1"/>
  <c r="Y65" i="29"/>
  <c r="Z65" i="29" s="1"/>
  <c r="Y64" i="29"/>
  <c r="Z64" i="29" s="1"/>
  <c r="Y63" i="29"/>
  <c r="Z63" i="29" s="1"/>
  <c r="Y62" i="29"/>
  <c r="Z62" i="29" s="1"/>
  <c r="Y61" i="29"/>
  <c r="Z61" i="29" s="1"/>
  <c r="Y60" i="29"/>
  <c r="Z60" i="29" s="1"/>
  <c r="Y59" i="29"/>
  <c r="Z59" i="29" s="1"/>
  <c r="Y58" i="29"/>
  <c r="Z58" i="29" s="1"/>
  <c r="Y57" i="29"/>
  <c r="Z57" i="29" s="1"/>
  <c r="Y56" i="29"/>
  <c r="Z56" i="29" s="1"/>
  <c r="Y55" i="29"/>
  <c r="Z55" i="29" s="1"/>
  <c r="Y54" i="29"/>
  <c r="Z54" i="29" s="1"/>
  <c r="Y53" i="29"/>
  <c r="Z53" i="29" s="1"/>
  <c r="Y52" i="29"/>
  <c r="Z52" i="29" s="1"/>
  <c r="Y51" i="29"/>
  <c r="Z51" i="29" s="1"/>
  <c r="Y50" i="29"/>
  <c r="Z50" i="29" s="1"/>
  <c r="Y49" i="29"/>
  <c r="Z49" i="29" s="1"/>
  <c r="Y48" i="29"/>
  <c r="Z48" i="29" s="1"/>
  <c r="Y47" i="29"/>
  <c r="Z47" i="29" s="1"/>
  <c r="Y46" i="29"/>
  <c r="Z46" i="29" s="1"/>
  <c r="Y45" i="29"/>
  <c r="Z45" i="29" s="1"/>
  <c r="Y44" i="29"/>
  <c r="Z44" i="29" s="1"/>
  <c r="Y43" i="29"/>
  <c r="Z43" i="29" s="1"/>
  <c r="Y42" i="29"/>
  <c r="Z42" i="29" s="1"/>
  <c r="Y41" i="29"/>
  <c r="Z41" i="29" s="1"/>
  <c r="Y40" i="29"/>
  <c r="Z40" i="29" s="1"/>
  <c r="Y39" i="29"/>
  <c r="Z39" i="29" s="1"/>
  <c r="Y38" i="29"/>
  <c r="Z38" i="29" s="1"/>
  <c r="Y37" i="29"/>
  <c r="Z37" i="29" s="1"/>
  <c r="Y36" i="29"/>
  <c r="Z36" i="29" s="1"/>
  <c r="Y35" i="29"/>
  <c r="Z35" i="29" s="1"/>
  <c r="Y34" i="29"/>
  <c r="Z34" i="29" s="1"/>
  <c r="J34" i="29"/>
  <c r="K34" i="29" s="1"/>
  <c r="Y33" i="29"/>
  <c r="Z33" i="29" s="1"/>
  <c r="Y32" i="29"/>
  <c r="Z32" i="29" s="1"/>
  <c r="Y31" i="29"/>
  <c r="Z31" i="29" s="1"/>
  <c r="Y30" i="29"/>
  <c r="Z30" i="29" s="1"/>
  <c r="J30" i="29"/>
  <c r="K30" i="29" s="1"/>
  <c r="Y29" i="29"/>
  <c r="Z29" i="29" s="1"/>
  <c r="E14" i="29"/>
  <c r="X56" i="28"/>
  <c r="W56" i="28"/>
  <c r="K56" i="28"/>
  <c r="I56" i="28"/>
  <c r="H56" i="28"/>
  <c r="X54" i="28"/>
  <c r="W54" i="28"/>
  <c r="K54" i="28"/>
  <c r="I54" i="28"/>
  <c r="H54" i="28"/>
  <c r="W52" i="28"/>
  <c r="X52" i="28" s="1"/>
  <c r="K52" i="28"/>
  <c r="W51" i="28"/>
  <c r="X51" i="28" s="1"/>
  <c r="K51" i="28"/>
  <c r="W50" i="28"/>
  <c r="X50" i="28" s="1"/>
  <c r="K50" i="28"/>
  <c r="W49" i="28"/>
  <c r="X49" i="28" s="1"/>
  <c r="K49" i="28"/>
  <c r="W48" i="28"/>
  <c r="X48" i="28" s="1"/>
  <c r="K48" i="28"/>
  <c r="W47" i="28"/>
  <c r="X47" i="28" s="1"/>
  <c r="K47" i="28"/>
  <c r="W46" i="28"/>
  <c r="X46" i="28" s="1"/>
  <c r="K46" i="28"/>
  <c r="W45" i="28"/>
  <c r="X45" i="28" s="1"/>
  <c r="K45" i="28"/>
  <c r="W44" i="28"/>
  <c r="X44" i="28" s="1"/>
  <c r="K44" i="28"/>
  <c r="W43" i="28"/>
  <c r="X43" i="28" s="1"/>
  <c r="K43" i="28"/>
  <c r="W42" i="28"/>
  <c r="X42" i="28" s="1"/>
  <c r="K42" i="28"/>
  <c r="W41" i="28"/>
  <c r="X41" i="28" s="1"/>
  <c r="K41" i="28"/>
  <c r="W40" i="28"/>
  <c r="X40" i="28" s="1"/>
  <c r="K40" i="28"/>
  <c r="W39" i="28"/>
  <c r="X39" i="28" s="1"/>
  <c r="K39" i="28"/>
  <c r="W38" i="28"/>
  <c r="X38" i="28" s="1"/>
  <c r="K38" i="28"/>
  <c r="W37" i="28"/>
  <c r="X37" i="28" s="1"/>
  <c r="K37" i="28"/>
  <c r="W36" i="28"/>
  <c r="X36" i="28" s="1"/>
  <c r="K36" i="28"/>
  <c r="W35" i="28"/>
  <c r="X35" i="28" s="1"/>
  <c r="K35" i="28"/>
  <c r="W34" i="28"/>
  <c r="X34" i="28" s="1"/>
  <c r="K34" i="28"/>
  <c r="W33" i="28"/>
  <c r="X33" i="28" s="1"/>
  <c r="K33" i="28"/>
  <c r="W32" i="28"/>
  <c r="X32" i="28" s="1"/>
  <c r="K32" i="28"/>
  <c r="W31" i="28"/>
  <c r="X31" i="28" s="1"/>
  <c r="K31" i="28"/>
  <c r="W30" i="28"/>
  <c r="X30" i="28" s="1"/>
  <c r="K30" i="28"/>
  <c r="W29" i="28"/>
  <c r="X29" i="28" s="1"/>
  <c r="K29" i="28"/>
  <c r="W28" i="28"/>
  <c r="X28" i="28" s="1"/>
  <c r="K28" i="28"/>
  <c r="W27" i="28"/>
  <c r="X27" i="28" s="1"/>
  <c r="K27" i="28"/>
  <c r="W26" i="28"/>
  <c r="X26" i="28" s="1"/>
  <c r="K26" i="28"/>
  <c r="W25" i="28"/>
  <c r="X25" i="28" s="1"/>
  <c r="E12" i="28"/>
  <c r="E14" i="12"/>
  <c r="E12" i="11"/>
  <c r="E11" i="10"/>
  <c r="E11" i="21"/>
  <c r="F29" i="29" l="1"/>
  <c r="J19" i="28"/>
  <c r="K39" i="42"/>
  <c r="J40" i="42"/>
  <c r="K43" i="42"/>
  <c r="J44" i="42"/>
  <c r="J36" i="42"/>
  <c r="K36" i="42" s="1"/>
  <c r="K35" i="42"/>
  <c r="K47" i="42"/>
  <c r="J52" i="42"/>
  <c r="J48" i="42"/>
  <c r="K39" i="36"/>
  <c r="J40" i="36"/>
  <c r="J44" i="36"/>
  <c r="K43" i="36"/>
  <c r="J48" i="36"/>
  <c r="K47" i="36"/>
  <c r="J52" i="36"/>
  <c r="F39" i="29"/>
  <c r="I39" i="29" s="1"/>
  <c r="J35" i="29"/>
  <c r="K35" i="29" s="1"/>
  <c r="J39" i="29"/>
  <c r="J44" i="29" s="1"/>
  <c r="G44" i="29"/>
  <c r="H44" i="29" s="1"/>
  <c r="G57" i="29"/>
  <c r="H57" i="29" s="1"/>
  <c r="G54" i="29"/>
  <c r="H54" i="29" s="1"/>
  <c r="G53" i="29"/>
  <c r="H53" i="29" s="1"/>
  <c r="G52" i="29"/>
  <c r="H52" i="29" s="1"/>
  <c r="F73" i="29"/>
  <c r="I73" i="29" s="1"/>
  <c r="G72" i="29"/>
  <c r="H72" i="29" s="1"/>
  <c r="F69" i="29"/>
  <c r="I69" i="29" s="1"/>
  <c r="G68" i="29"/>
  <c r="H68" i="29" s="1"/>
  <c r="F65" i="29"/>
  <c r="I65" i="29" s="1"/>
  <c r="F72" i="29"/>
  <c r="I72" i="29" s="1"/>
  <c r="G71" i="29"/>
  <c r="H71" i="29" s="1"/>
  <c r="F68" i="29"/>
  <c r="I68" i="29" s="1"/>
  <c r="G67" i="29"/>
  <c r="H67" i="29" s="1"/>
  <c r="F64" i="29"/>
  <c r="I64" i="29" s="1"/>
  <c r="G63" i="29"/>
  <c r="H63" i="29" s="1"/>
  <c r="F60" i="29"/>
  <c r="I60" i="29" s="1"/>
  <c r="G59" i="29"/>
  <c r="H59" i="29" s="1"/>
  <c r="F71" i="29"/>
  <c r="I71" i="29" s="1"/>
  <c r="G70" i="29"/>
  <c r="H70" i="29" s="1"/>
  <c r="F67" i="29"/>
  <c r="I67" i="29" s="1"/>
  <c r="G66" i="29"/>
  <c r="H66" i="29" s="1"/>
  <c r="F63" i="29"/>
  <c r="I63" i="29" s="1"/>
  <c r="G62" i="29"/>
  <c r="H62" i="29" s="1"/>
  <c r="F59" i="29"/>
  <c r="I59" i="29" s="1"/>
  <c r="G58" i="29"/>
  <c r="H58" i="29" s="1"/>
  <c r="F55" i="29"/>
  <c r="I55" i="29" s="1"/>
  <c r="F54" i="29"/>
  <c r="I54" i="29" s="1"/>
  <c r="F52" i="29"/>
  <c r="I52" i="29" s="1"/>
  <c r="G61" i="29"/>
  <c r="H61" i="29" s="1"/>
  <c r="F57" i="29"/>
  <c r="I57" i="29" s="1"/>
  <c r="F56" i="29"/>
  <c r="I56" i="29" s="1"/>
  <c r="F53" i="29"/>
  <c r="I53" i="29" s="1"/>
  <c r="G49" i="29"/>
  <c r="H49" i="29" s="1"/>
  <c r="G48" i="29"/>
  <c r="H48" i="29" s="1"/>
  <c r="G47" i="29"/>
  <c r="H47" i="29" s="1"/>
  <c r="G46" i="29"/>
  <c r="H46" i="29" s="1"/>
  <c r="G45" i="29"/>
  <c r="H45" i="29" s="1"/>
  <c r="F44" i="29"/>
  <c r="I44" i="29" s="1"/>
  <c r="F43" i="29"/>
  <c r="I43" i="29" s="1"/>
  <c r="F42" i="29"/>
  <c r="I42" i="29" s="1"/>
  <c r="F41" i="29"/>
  <c r="I41" i="29" s="1"/>
  <c r="F40" i="29"/>
  <c r="I40" i="29" s="1"/>
  <c r="G73" i="29"/>
  <c r="H73" i="29" s="1"/>
  <c r="G69" i="29"/>
  <c r="H69" i="29" s="1"/>
  <c r="G65" i="29"/>
  <c r="H65" i="29" s="1"/>
  <c r="F61" i="29"/>
  <c r="I61" i="29" s="1"/>
  <c r="F58" i="29"/>
  <c r="I58" i="29" s="1"/>
  <c r="G51" i="29"/>
  <c r="H51" i="29" s="1"/>
  <c r="G50" i="29"/>
  <c r="H50" i="29" s="1"/>
  <c r="F49" i="29"/>
  <c r="I49" i="29" s="1"/>
  <c r="F48" i="29"/>
  <c r="I48" i="29" s="1"/>
  <c r="F47" i="29"/>
  <c r="I47" i="29" s="1"/>
  <c r="F46" i="29"/>
  <c r="I46" i="29" s="1"/>
  <c r="F45" i="29"/>
  <c r="I45" i="29" s="1"/>
  <c r="G34" i="29"/>
  <c r="H34" i="29" s="1"/>
  <c r="G33" i="29"/>
  <c r="H33" i="29" s="1"/>
  <c r="G32" i="29"/>
  <c r="H32" i="29" s="1"/>
  <c r="G31" i="29"/>
  <c r="H31" i="29" s="1"/>
  <c r="G30" i="29"/>
  <c r="H30" i="29" s="1"/>
  <c r="F70" i="29"/>
  <c r="I70" i="29" s="1"/>
  <c r="F66" i="29"/>
  <c r="I66" i="29" s="1"/>
  <c r="G64" i="29"/>
  <c r="H64" i="29" s="1"/>
  <c r="G60" i="29"/>
  <c r="H60" i="29" s="1"/>
  <c r="G55" i="29"/>
  <c r="H55" i="29" s="1"/>
  <c r="F51" i="29"/>
  <c r="I51" i="29" s="1"/>
  <c r="F50" i="29"/>
  <c r="I50" i="29" s="1"/>
  <c r="G39" i="29"/>
  <c r="H39" i="29" s="1"/>
  <c r="G38" i="29"/>
  <c r="H38" i="29" s="1"/>
  <c r="G37" i="29"/>
  <c r="H37" i="29" s="1"/>
  <c r="G36" i="29"/>
  <c r="H36" i="29" s="1"/>
  <c r="G35" i="29"/>
  <c r="H35" i="29" s="1"/>
  <c r="F34" i="29"/>
  <c r="I34" i="29" s="1"/>
  <c r="F33" i="29"/>
  <c r="I33" i="29" s="1"/>
  <c r="F32" i="29"/>
  <c r="I32" i="29" s="1"/>
  <c r="F31" i="29"/>
  <c r="I31" i="29" s="1"/>
  <c r="F30" i="29"/>
  <c r="I30" i="29" s="1"/>
  <c r="I29" i="29"/>
  <c r="F35" i="29"/>
  <c r="I35" i="29" s="1"/>
  <c r="F36" i="29"/>
  <c r="I36" i="29" s="1"/>
  <c r="G43" i="29"/>
  <c r="H43" i="29" s="1"/>
  <c r="G56" i="29"/>
  <c r="H56" i="29" s="1"/>
  <c r="G29" i="29"/>
  <c r="H29" i="29" s="1"/>
  <c r="F37" i="29"/>
  <c r="I37" i="29" s="1"/>
  <c r="G42" i="29"/>
  <c r="H42" i="29" s="1"/>
  <c r="F62" i="29"/>
  <c r="I62" i="29" s="1"/>
  <c r="G33" i="28"/>
  <c r="H33" i="28" s="1"/>
  <c r="F38" i="29"/>
  <c r="I38" i="29" s="1"/>
  <c r="G40" i="29"/>
  <c r="H40" i="29" s="1"/>
  <c r="G41" i="29"/>
  <c r="H41" i="29" s="1"/>
  <c r="J31" i="29"/>
  <c r="F29" i="28"/>
  <c r="I29" i="28" s="1"/>
  <c r="F35" i="28"/>
  <c r="I35" i="28" s="1"/>
  <c r="F38" i="28"/>
  <c r="I38" i="28" s="1"/>
  <c r="G39" i="28"/>
  <c r="H39" i="28" s="1"/>
  <c r="F43" i="28"/>
  <c r="I43" i="28" s="1"/>
  <c r="G44" i="28"/>
  <c r="H44" i="28" s="1"/>
  <c r="F52" i="28"/>
  <c r="I52" i="28" s="1"/>
  <c r="F49" i="28"/>
  <c r="I49" i="28" s="1"/>
  <c r="G46" i="28"/>
  <c r="H46" i="28" s="1"/>
  <c r="G43" i="28"/>
  <c r="H43" i="28" s="1"/>
  <c r="F42" i="28"/>
  <c r="I42" i="28" s="1"/>
  <c r="G50" i="28"/>
  <c r="H50" i="28" s="1"/>
  <c r="G47" i="28"/>
  <c r="H47" i="28" s="1"/>
  <c r="F46" i="28"/>
  <c r="I46" i="28" s="1"/>
  <c r="G51" i="28"/>
  <c r="H51" i="28" s="1"/>
  <c r="F50" i="28"/>
  <c r="I50" i="28" s="1"/>
  <c r="G48" i="28"/>
  <c r="H48" i="28" s="1"/>
  <c r="F47" i="28"/>
  <c r="I47" i="28" s="1"/>
  <c r="G45" i="28"/>
  <c r="H45" i="28" s="1"/>
  <c r="F44" i="28"/>
  <c r="I44" i="28" s="1"/>
  <c r="G49" i="28"/>
  <c r="H49" i="28" s="1"/>
  <c r="F45" i="28"/>
  <c r="I45" i="28" s="1"/>
  <c r="G40" i="28"/>
  <c r="H40" i="28" s="1"/>
  <c r="F39" i="28"/>
  <c r="I39" i="28" s="1"/>
  <c r="G37" i="28"/>
  <c r="H37" i="28" s="1"/>
  <c r="F36" i="28"/>
  <c r="I36" i="28" s="1"/>
  <c r="F33" i="28"/>
  <c r="I33" i="28" s="1"/>
  <c r="G30" i="28"/>
  <c r="H30" i="28" s="1"/>
  <c r="G27" i="28"/>
  <c r="H27" i="28" s="1"/>
  <c r="F26" i="28"/>
  <c r="I26" i="28" s="1"/>
  <c r="G25" i="28"/>
  <c r="H25" i="28" s="1"/>
  <c r="F48" i="28"/>
  <c r="I48" i="28" s="1"/>
  <c r="G42" i="28"/>
  <c r="H42" i="28" s="1"/>
  <c r="G41" i="28"/>
  <c r="H41" i="28" s="1"/>
  <c r="F40" i="28"/>
  <c r="I40" i="28" s="1"/>
  <c r="F37" i="28"/>
  <c r="I37" i="28" s="1"/>
  <c r="G34" i="28"/>
  <c r="H34" i="28" s="1"/>
  <c r="G31" i="28"/>
  <c r="H31" i="28" s="1"/>
  <c r="F30" i="28"/>
  <c r="I30" i="28" s="1"/>
  <c r="G28" i="28"/>
  <c r="H28" i="28" s="1"/>
  <c r="F27" i="28"/>
  <c r="I27" i="28" s="1"/>
  <c r="F25" i="28"/>
  <c r="I25" i="28" s="1"/>
  <c r="F51" i="28"/>
  <c r="I51" i="28" s="1"/>
  <c r="F41" i="28"/>
  <c r="I41" i="28" s="1"/>
  <c r="G38" i="28"/>
  <c r="H38" i="28" s="1"/>
  <c r="G35" i="28"/>
  <c r="H35" i="28" s="1"/>
  <c r="F34" i="28"/>
  <c r="I34" i="28" s="1"/>
  <c r="G32" i="28"/>
  <c r="H32" i="28" s="1"/>
  <c r="F31" i="28"/>
  <c r="I31" i="28" s="1"/>
  <c r="G29" i="28"/>
  <c r="H29" i="28" s="1"/>
  <c r="F28" i="28"/>
  <c r="I28" i="28" s="1"/>
  <c r="G52" i="28"/>
  <c r="H52" i="28" s="1"/>
  <c r="G26" i="28"/>
  <c r="H26" i="28" s="1"/>
  <c r="F32" i="28"/>
  <c r="I32" i="28" s="1"/>
  <c r="G36" i="28"/>
  <c r="H36" i="28" s="1"/>
  <c r="J22" i="28"/>
  <c r="J15" i="28"/>
  <c r="J16" i="28"/>
  <c r="J17" i="28"/>
  <c r="J18" i="28"/>
  <c r="X39" i="27"/>
  <c r="W39" i="27"/>
  <c r="K39" i="27"/>
  <c r="I39" i="27"/>
  <c r="H39" i="27"/>
  <c r="X37" i="27"/>
  <c r="W37" i="27"/>
  <c r="K37" i="27"/>
  <c r="I37" i="27"/>
  <c r="H37" i="27"/>
  <c r="W35" i="27"/>
  <c r="X35" i="27" s="1"/>
  <c r="K35" i="27"/>
  <c r="W34" i="27"/>
  <c r="X34" i="27" s="1"/>
  <c r="K34" i="27"/>
  <c r="W33" i="27"/>
  <c r="X33" i="27" s="1"/>
  <c r="K33" i="27"/>
  <c r="W32" i="27"/>
  <c r="X32" i="27" s="1"/>
  <c r="K32" i="27"/>
  <c r="W31" i="27"/>
  <c r="X31" i="27" s="1"/>
  <c r="K31" i="27"/>
  <c r="W30" i="27"/>
  <c r="X30" i="27" s="1"/>
  <c r="K30" i="27"/>
  <c r="W29" i="27"/>
  <c r="X29" i="27" s="1"/>
  <c r="K29" i="27"/>
  <c r="W28" i="27"/>
  <c r="X28" i="27" s="1"/>
  <c r="K28" i="27"/>
  <c r="W27" i="27"/>
  <c r="X27" i="27" s="1"/>
  <c r="K27" i="27"/>
  <c r="W26" i="27"/>
  <c r="X26" i="27" s="1"/>
  <c r="K26" i="27"/>
  <c r="W25" i="27"/>
  <c r="X25" i="27" s="1"/>
  <c r="K25" i="27"/>
  <c r="W24" i="27"/>
  <c r="X24" i="27" s="1"/>
  <c r="K24" i="27"/>
  <c r="W23" i="27"/>
  <c r="X23" i="27" s="1"/>
  <c r="K23" i="27"/>
  <c r="W22" i="27"/>
  <c r="X22" i="27" s="1"/>
  <c r="K22" i="27"/>
  <c r="W21" i="27"/>
  <c r="X21" i="27" s="1"/>
  <c r="E10" i="27"/>
  <c r="X54" i="26"/>
  <c r="W54" i="26"/>
  <c r="K54" i="26"/>
  <c r="I54" i="26"/>
  <c r="H54" i="26"/>
  <c r="X52" i="26"/>
  <c r="W52" i="26"/>
  <c r="K52" i="26"/>
  <c r="I52" i="26"/>
  <c r="H52" i="26"/>
  <c r="W50" i="26"/>
  <c r="X50" i="26" s="1"/>
  <c r="K50" i="26"/>
  <c r="W49" i="26"/>
  <c r="X49" i="26" s="1"/>
  <c r="K49" i="26"/>
  <c r="W48" i="26"/>
  <c r="X48" i="26" s="1"/>
  <c r="K48" i="26"/>
  <c r="W47" i="26"/>
  <c r="X47" i="26" s="1"/>
  <c r="K47" i="26"/>
  <c r="W46" i="26"/>
  <c r="X46" i="26" s="1"/>
  <c r="K46" i="26"/>
  <c r="W45" i="26"/>
  <c r="X45" i="26" s="1"/>
  <c r="K45" i="26"/>
  <c r="W44" i="26"/>
  <c r="X44" i="26" s="1"/>
  <c r="K44" i="26"/>
  <c r="W43" i="26"/>
  <c r="X43" i="26" s="1"/>
  <c r="K43" i="26"/>
  <c r="W42" i="26"/>
  <c r="X42" i="26" s="1"/>
  <c r="K42" i="26"/>
  <c r="W41" i="26"/>
  <c r="X41" i="26" s="1"/>
  <c r="K41" i="26"/>
  <c r="W40" i="26"/>
  <c r="X40" i="26" s="1"/>
  <c r="K40" i="26"/>
  <c r="W39" i="26"/>
  <c r="X39" i="26" s="1"/>
  <c r="K39" i="26"/>
  <c r="W38" i="26"/>
  <c r="X38" i="26" s="1"/>
  <c r="K38" i="26"/>
  <c r="W37" i="26"/>
  <c r="X37" i="26" s="1"/>
  <c r="K37" i="26"/>
  <c r="W36" i="26"/>
  <c r="X36" i="26" s="1"/>
  <c r="K36" i="26"/>
  <c r="W35" i="26"/>
  <c r="X35" i="26" s="1"/>
  <c r="K35" i="26"/>
  <c r="W34" i="26"/>
  <c r="X34" i="26" s="1"/>
  <c r="K34" i="26"/>
  <c r="W33" i="26"/>
  <c r="X33" i="26" s="1"/>
  <c r="K33" i="26"/>
  <c r="W32" i="26"/>
  <c r="X32" i="26" s="1"/>
  <c r="K32" i="26"/>
  <c r="W31" i="26"/>
  <c r="X31" i="26" s="1"/>
  <c r="K31" i="26"/>
  <c r="W30" i="26"/>
  <c r="X30" i="26" s="1"/>
  <c r="K30" i="26"/>
  <c r="W29" i="26"/>
  <c r="X29" i="26" s="1"/>
  <c r="K29" i="26"/>
  <c r="W28" i="26"/>
  <c r="X28" i="26" s="1"/>
  <c r="K28" i="26"/>
  <c r="W27" i="26"/>
  <c r="X27" i="26" s="1"/>
  <c r="K27" i="26"/>
  <c r="W26" i="26"/>
  <c r="X26" i="26" s="1"/>
  <c r="K26" i="26"/>
  <c r="W25" i="26"/>
  <c r="X25" i="26" s="1"/>
  <c r="K25" i="26"/>
  <c r="W24" i="26"/>
  <c r="X24" i="26" s="1"/>
  <c r="K24" i="26"/>
  <c r="W23" i="26"/>
  <c r="X23" i="26" s="1"/>
  <c r="K23" i="26"/>
  <c r="W22" i="26"/>
  <c r="X22" i="26" s="1"/>
  <c r="K22" i="26"/>
  <c r="W21" i="26"/>
  <c r="X21" i="26" s="1"/>
  <c r="E10" i="26"/>
  <c r="Q48" i="28"/>
  <c r="Q28" i="28"/>
  <c r="Q31" i="28"/>
  <c r="Q45" i="28"/>
  <c r="Q46" i="28"/>
  <c r="Q47" i="28"/>
  <c r="Q25" i="28"/>
  <c r="Q39" i="28"/>
  <c r="Q34" i="28"/>
  <c r="Q36" i="28"/>
  <c r="Q30" i="28"/>
  <c r="Q43" i="28"/>
  <c r="Q27" i="28"/>
  <c r="P25" i="28"/>
  <c r="Q37" i="28"/>
  <c r="Q41" i="28"/>
  <c r="Q50" i="28"/>
  <c r="Q35" i="28"/>
  <c r="Q44" i="28"/>
  <c r="Q33" i="28"/>
  <c r="P33" i="28"/>
  <c r="Q52" i="28"/>
  <c r="Q38" i="28"/>
  <c r="Q29" i="28"/>
  <c r="Q32" i="28"/>
  <c r="Q26" i="28"/>
  <c r="Q40" i="28"/>
  <c r="Q51" i="28"/>
  <c r="Q42" i="28"/>
  <c r="J36" i="29" l="1"/>
  <c r="J40" i="29"/>
  <c r="J41" i="29" s="1"/>
  <c r="K39" i="29"/>
  <c r="K44" i="42"/>
  <c r="J45" i="42"/>
  <c r="J57" i="42"/>
  <c r="J53" i="42"/>
  <c r="K52" i="42"/>
  <c r="J49" i="42"/>
  <c r="K48" i="42"/>
  <c r="J41" i="42"/>
  <c r="K41" i="42" s="1"/>
  <c r="K40" i="42"/>
  <c r="K48" i="36"/>
  <c r="J49" i="36"/>
  <c r="J45" i="36"/>
  <c r="K44" i="36"/>
  <c r="K52" i="36"/>
  <c r="J53" i="36"/>
  <c r="J57" i="36"/>
  <c r="K40" i="36"/>
  <c r="J41" i="36"/>
  <c r="K41" i="36" s="1"/>
  <c r="D51" i="29"/>
  <c r="D48" i="29"/>
  <c r="D72" i="29"/>
  <c r="D53" i="29"/>
  <c r="D37" i="29"/>
  <c r="D33" i="29"/>
  <c r="D69" i="29"/>
  <c r="D40" i="29"/>
  <c r="D42" i="29"/>
  <c r="D56" i="29"/>
  <c r="J49" i="29"/>
  <c r="J45" i="29"/>
  <c r="K44" i="29"/>
  <c r="D38" i="29"/>
  <c r="D55" i="29"/>
  <c r="D30" i="29"/>
  <c r="D34" i="29"/>
  <c r="D73" i="29"/>
  <c r="D45" i="29"/>
  <c r="D49" i="29"/>
  <c r="D61" i="29"/>
  <c r="D58" i="29"/>
  <c r="D66" i="29"/>
  <c r="D63" i="29"/>
  <c r="D71" i="29"/>
  <c r="D54" i="29"/>
  <c r="D43" i="29"/>
  <c r="D35" i="29"/>
  <c r="D39" i="29"/>
  <c r="D60" i="29"/>
  <c r="D31" i="29"/>
  <c r="D46" i="29"/>
  <c r="D68" i="29"/>
  <c r="D57" i="29"/>
  <c r="D41" i="29"/>
  <c r="K31" i="29"/>
  <c r="J32" i="29"/>
  <c r="K36" i="29"/>
  <c r="J37" i="29"/>
  <c r="D36" i="29"/>
  <c r="D64" i="29"/>
  <c r="D32" i="29"/>
  <c r="D50" i="29"/>
  <c r="D65" i="29"/>
  <c r="D47" i="29"/>
  <c r="D62" i="29"/>
  <c r="D70" i="29"/>
  <c r="D59" i="29"/>
  <c r="D67" i="29"/>
  <c r="D52" i="29"/>
  <c r="D44" i="29"/>
  <c r="D46" i="28"/>
  <c r="D29" i="28"/>
  <c r="D35" i="28"/>
  <c r="D40" i="28"/>
  <c r="D45" i="28"/>
  <c r="D51" i="28"/>
  <c r="D47" i="28"/>
  <c r="D44" i="28"/>
  <c r="D36" i="28"/>
  <c r="D30" i="28"/>
  <c r="D26" i="28"/>
  <c r="D38" i="28"/>
  <c r="D31" i="28"/>
  <c r="D41" i="28"/>
  <c r="D50" i="28"/>
  <c r="D28" i="28"/>
  <c r="D52" i="28"/>
  <c r="D32" i="28"/>
  <c r="D34" i="28"/>
  <c r="D42" i="28"/>
  <c r="D27" i="28"/>
  <c r="D37" i="28"/>
  <c r="D49" i="28"/>
  <c r="D48" i="28"/>
  <c r="D43" i="28"/>
  <c r="D39" i="28"/>
  <c r="D33" i="28"/>
  <c r="F21" i="27"/>
  <c r="I21" i="27" s="1"/>
  <c r="F33" i="27"/>
  <c r="I33" i="27" s="1"/>
  <c r="F30" i="27"/>
  <c r="I30" i="27" s="1"/>
  <c r="F27" i="27"/>
  <c r="I27" i="27" s="1"/>
  <c r="F24" i="27"/>
  <c r="I24" i="27" s="1"/>
  <c r="G34" i="27"/>
  <c r="H34" i="27" s="1"/>
  <c r="G31" i="27"/>
  <c r="H31" i="27" s="1"/>
  <c r="G28" i="27"/>
  <c r="H28" i="27" s="1"/>
  <c r="G25" i="27"/>
  <c r="H25" i="27" s="1"/>
  <c r="G22" i="27"/>
  <c r="H22" i="27" s="1"/>
  <c r="G35" i="27"/>
  <c r="H35" i="27" s="1"/>
  <c r="F34" i="27"/>
  <c r="I34" i="27" s="1"/>
  <c r="G32" i="27"/>
  <c r="H32" i="27" s="1"/>
  <c r="F31" i="27"/>
  <c r="I31" i="27" s="1"/>
  <c r="G29" i="27"/>
  <c r="H29" i="27" s="1"/>
  <c r="F28" i="27"/>
  <c r="I28" i="27" s="1"/>
  <c r="G26" i="27"/>
  <c r="H26" i="27" s="1"/>
  <c r="F25" i="27"/>
  <c r="I25" i="27" s="1"/>
  <c r="G23" i="27"/>
  <c r="H23" i="27" s="1"/>
  <c r="F22" i="27"/>
  <c r="I22" i="27" s="1"/>
  <c r="G21" i="27"/>
  <c r="H21" i="27" s="1"/>
  <c r="G24" i="27"/>
  <c r="H24" i="27" s="1"/>
  <c r="G27" i="27"/>
  <c r="H27" i="27" s="1"/>
  <c r="G30" i="27"/>
  <c r="H30" i="27" s="1"/>
  <c r="G33" i="27"/>
  <c r="H33" i="27" s="1"/>
  <c r="F23" i="27"/>
  <c r="I23" i="27" s="1"/>
  <c r="F26" i="27"/>
  <c r="I26" i="27" s="1"/>
  <c r="F29" i="27"/>
  <c r="I29" i="27" s="1"/>
  <c r="F32" i="27"/>
  <c r="I32" i="27" s="1"/>
  <c r="F35" i="27"/>
  <c r="I35" i="27" s="1"/>
  <c r="G25" i="26"/>
  <c r="H25" i="26" s="1"/>
  <c r="G40" i="26"/>
  <c r="H40" i="26" s="1"/>
  <c r="G41" i="26"/>
  <c r="H41" i="26" s="1"/>
  <c r="G42" i="26"/>
  <c r="H42" i="26" s="1"/>
  <c r="F43" i="26"/>
  <c r="I43" i="26" s="1"/>
  <c r="G22" i="26"/>
  <c r="H22" i="26" s="1"/>
  <c r="G28" i="26"/>
  <c r="H28" i="26" s="1"/>
  <c r="F48" i="26"/>
  <c r="I48" i="26" s="1"/>
  <c r="F45" i="26"/>
  <c r="I45" i="26" s="1"/>
  <c r="F42" i="26"/>
  <c r="I42" i="26" s="1"/>
  <c r="F39" i="26"/>
  <c r="I39" i="26" s="1"/>
  <c r="F36" i="26"/>
  <c r="I36" i="26" s="1"/>
  <c r="F33" i="26"/>
  <c r="I33" i="26" s="1"/>
  <c r="F30" i="26"/>
  <c r="I30" i="26" s="1"/>
  <c r="G49" i="26"/>
  <c r="H49" i="26" s="1"/>
  <c r="G46" i="26"/>
  <c r="H46" i="26" s="1"/>
  <c r="G50" i="26"/>
  <c r="H50" i="26" s="1"/>
  <c r="F49" i="26"/>
  <c r="I49" i="26" s="1"/>
  <c r="G47" i="26"/>
  <c r="H47" i="26" s="1"/>
  <c r="F46" i="26"/>
  <c r="I46" i="26" s="1"/>
  <c r="F41" i="26"/>
  <c r="I41" i="26" s="1"/>
  <c r="F40" i="26"/>
  <c r="I40" i="26" s="1"/>
  <c r="G39" i="26"/>
  <c r="H39" i="26" s="1"/>
  <c r="G38" i="26"/>
  <c r="H38" i="26" s="1"/>
  <c r="G37" i="26"/>
  <c r="H37" i="26" s="1"/>
  <c r="G29" i="26"/>
  <c r="H29" i="26" s="1"/>
  <c r="F28" i="26"/>
  <c r="I28" i="26" s="1"/>
  <c r="G26" i="26"/>
  <c r="H26" i="26" s="1"/>
  <c r="F25" i="26"/>
  <c r="I25" i="26" s="1"/>
  <c r="G23" i="26"/>
  <c r="H23" i="26" s="1"/>
  <c r="F22" i="26"/>
  <c r="I22" i="26" s="1"/>
  <c r="G21" i="26"/>
  <c r="H21" i="26" s="1"/>
  <c r="G48" i="26"/>
  <c r="H48" i="26" s="1"/>
  <c r="F50" i="26"/>
  <c r="I50" i="26" s="1"/>
  <c r="F38" i="26"/>
  <c r="I38" i="26" s="1"/>
  <c r="F37" i="26"/>
  <c r="I37" i="26" s="1"/>
  <c r="G36" i="26"/>
  <c r="H36" i="26" s="1"/>
  <c r="G35" i="26"/>
  <c r="H35" i="26" s="1"/>
  <c r="G34" i="26"/>
  <c r="H34" i="26" s="1"/>
  <c r="F29" i="26"/>
  <c r="I29" i="26" s="1"/>
  <c r="G27" i="26"/>
  <c r="H27" i="26" s="1"/>
  <c r="F26" i="26"/>
  <c r="I26" i="26" s="1"/>
  <c r="G24" i="26"/>
  <c r="H24" i="26" s="1"/>
  <c r="F23" i="26"/>
  <c r="I23" i="26" s="1"/>
  <c r="F21" i="26"/>
  <c r="I21" i="26" s="1"/>
  <c r="F44" i="26"/>
  <c r="I44" i="26" s="1"/>
  <c r="F47" i="26"/>
  <c r="I47" i="26" s="1"/>
  <c r="G45" i="26"/>
  <c r="H45" i="26" s="1"/>
  <c r="G44" i="26"/>
  <c r="H44" i="26" s="1"/>
  <c r="G43" i="26"/>
  <c r="H43" i="26" s="1"/>
  <c r="F35" i="26"/>
  <c r="I35" i="26" s="1"/>
  <c r="F34" i="26"/>
  <c r="I34" i="26" s="1"/>
  <c r="G33" i="26"/>
  <c r="H33" i="26" s="1"/>
  <c r="G32" i="26"/>
  <c r="H32" i="26" s="1"/>
  <c r="G31" i="26"/>
  <c r="H31" i="26" s="1"/>
  <c r="F27" i="26"/>
  <c r="I27" i="26" s="1"/>
  <c r="F24" i="26"/>
  <c r="I24" i="26" s="1"/>
  <c r="F32" i="26"/>
  <c r="I32" i="26" s="1"/>
  <c r="G30" i="26"/>
  <c r="H30" i="26" s="1"/>
  <c r="F31" i="26"/>
  <c r="I31" i="26" s="1"/>
  <c r="Q48" i="26"/>
  <c r="Q49" i="28"/>
  <c r="Q27" i="26"/>
  <c r="K40" i="29" l="1"/>
  <c r="L16" i="28"/>
  <c r="L18" i="28"/>
  <c r="L17" i="28"/>
  <c r="L21" i="28"/>
  <c r="L22" i="28"/>
  <c r="L19" i="28"/>
  <c r="L20" i="28"/>
  <c r="L15" i="28"/>
  <c r="P35" i="28"/>
  <c r="Q43" i="26"/>
  <c r="Q26" i="27"/>
  <c r="P36" i="28"/>
  <c r="P30" i="28"/>
  <c r="P32" i="28"/>
  <c r="P48" i="28"/>
  <c r="P47" i="28"/>
  <c r="Q41" i="26"/>
  <c r="P39" i="28"/>
  <c r="Q31" i="27"/>
  <c r="Q49" i="26"/>
  <c r="Q36" i="26"/>
  <c r="Q27" i="27"/>
  <c r="Q32" i="26"/>
  <c r="Q40" i="26"/>
  <c r="P21" i="27"/>
  <c r="Q24" i="26"/>
  <c r="Q23" i="26"/>
  <c r="Q24" i="27"/>
  <c r="P45" i="28"/>
  <c r="P49" i="28"/>
  <c r="Q22" i="27"/>
  <c r="Q32" i="27"/>
  <c r="P31" i="28"/>
  <c r="Q47" i="26"/>
  <c r="Q28" i="27"/>
  <c r="Q30" i="26"/>
  <c r="Q35" i="27"/>
  <c r="P38" i="28"/>
  <c r="Q44" i="26"/>
  <c r="P50" i="28"/>
  <c r="Q34" i="27"/>
  <c r="Q31" i="26"/>
  <c r="Q42" i="26"/>
  <c r="P37" i="28"/>
  <c r="Q29" i="26"/>
  <c r="P29" i="28"/>
  <c r="P25" i="26"/>
  <c r="P46" i="28"/>
  <c r="Q23" i="27"/>
  <c r="P44" i="28"/>
  <c r="P51" i="28"/>
  <c r="Q21" i="27"/>
  <c r="Q35" i="26"/>
  <c r="Q38" i="26"/>
  <c r="P41" i="28"/>
  <c r="P28" i="28"/>
  <c r="P26" i="28"/>
  <c r="Q33" i="26"/>
  <c r="Q29" i="27"/>
  <c r="Q21" i="26"/>
  <c r="P40" i="28"/>
  <c r="Q26" i="26"/>
  <c r="P52" i="28"/>
  <c r="Q39" i="26"/>
  <c r="P21" i="26"/>
  <c r="Q22" i="26"/>
  <c r="Q25" i="26"/>
  <c r="Q45" i="26"/>
  <c r="Q33" i="27"/>
  <c r="P34" i="28"/>
  <c r="Q28" i="26"/>
  <c r="Q50" i="26"/>
  <c r="P27" i="28"/>
  <c r="Q46" i="26"/>
  <c r="Q25" i="27"/>
  <c r="P42" i="28"/>
  <c r="Q34" i="26"/>
  <c r="P43" i="28"/>
  <c r="Q37" i="26"/>
  <c r="Q30" i="27"/>
  <c r="K20" i="28" l="1"/>
  <c r="M20" i="28" s="1"/>
  <c r="K17" i="28"/>
  <c r="M17" i="28" s="1"/>
  <c r="K21" i="28"/>
  <c r="M21" i="28" s="1"/>
  <c r="K18" i="28"/>
  <c r="M18" i="28" s="1"/>
  <c r="K22" i="28"/>
  <c r="M22" i="28" s="1"/>
  <c r="K19" i="28"/>
  <c r="M19" i="28" s="1"/>
  <c r="K16" i="28"/>
  <c r="M16" i="28" s="1"/>
  <c r="K15" i="28"/>
  <c r="M15" i="28" s="1"/>
  <c r="J14" i="27"/>
  <c r="J18" i="27"/>
  <c r="J15" i="27"/>
  <c r="J16" i="27"/>
  <c r="J17" i="27"/>
  <c r="J13" i="27"/>
  <c r="J14" i="26"/>
  <c r="J15" i="26"/>
  <c r="J18" i="26"/>
  <c r="J16" i="26"/>
  <c r="J17" i="26"/>
  <c r="J13" i="26"/>
  <c r="G4" i="28"/>
  <c r="H4" i="28" s="1"/>
  <c r="G5" i="28"/>
  <c r="H5" i="28" s="1"/>
  <c r="G6" i="28"/>
  <c r="H6" i="28" s="1"/>
  <c r="G7" i="28"/>
  <c r="H7" i="28" s="1"/>
  <c r="G8" i="28"/>
  <c r="H8" i="28" s="1"/>
  <c r="G9" i="28"/>
  <c r="H9" i="28" s="1"/>
  <c r="G10" i="28"/>
  <c r="H10" i="28" s="1"/>
  <c r="G3" i="28"/>
  <c r="H3" i="28" s="1"/>
  <c r="E3" i="28"/>
  <c r="J54" i="42"/>
  <c r="K53" i="42"/>
  <c r="J58" i="42"/>
  <c r="J62" i="42"/>
  <c r="J64" i="42" s="1"/>
  <c r="K57" i="42"/>
  <c r="J50" i="42"/>
  <c r="K49" i="42"/>
  <c r="K45" i="42"/>
  <c r="J46" i="42"/>
  <c r="K46" i="42" s="1"/>
  <c r="J62" i="36"/>
  <c r="J58" i="36"/>
  <c r="K57" i="36"/>
  <c r="J46" i="36"/>
  <c r="K46" i="36" s="1"/>
  <c r="K45" i="36"/>
  <c r="J54" i="36"/>
  <c r="K53" i="36"/>
  <c r="K49" i="36"/>
  <c r="J50" i="36"/>
  <c r="K32" i="29"/>
  <c r="J33" i="29"/>
  <c r="K33" i="29" s="1"/>
  <c r="J42" i="29"/>
  <c r="K41" i="29"/>
  <c r="K45" i="29"/>
  <c r="J46" i="29"/>
  <c r="K37" i="29"/>
  <c r="J38" i="29"/>
  <c r="K38" i="29" s="1"/>
  <c r="K49" i="29"/>
  <c r="J54" i="29"/>
  <c r="J50" i="29"/>
  <c r="C10" i="28"/>
  <c r="E6" i="28"/>
  <c r="E4" i="28"/>
  <c r="D9" i="28"/>
  <c r="D7" i="28"/>
  <c r="D5" i="28"/>
  <c r="D3" i="28"/>
  <c r="E10" i="28"/>
  <c r="D8" i="28"/>
  <c r="C6" i="28"/>
  <c r="C4" i="28"/>
  <c r="C8" i="28"/>
  <c r="C9" i="28"/>
  <c r="E7" i="28"/>
  <c r="E5" i="28"/>
  <c r="D10" i="28"/>
  <c r="E8" i="28"/>
  <c r="D6" i="28"/>
  <c r="D4" i="28"/>
  <c r="C3" i="28"/>
  <c r="E9" i="28"/>
  <c r="C7" i="28"/>
  <c r="C5" i="28"/>
  <c r="D27" i="27"/>
  <c r="D26" i="27"/>
  <c r="D32" i="27"/>
  <c r="D31" i="27"/>
  <c r="D24" i="27"/>
  <c r="D22" i="27"/>
  <c r="D34" i="27"/>
  <c r="D33" i="27"/>
  <c r="D23" i="27"/>
  <c r="D29" i="27"/>
  <c r="D35" i="27"/>
  <c r="D25" i="27"/>
  <c r="D30" i="27"/>
  <c r="D28" i="27"/>
  <c r="D31" i="26"/>
  <c r="D30" i="26"/>
  <c r="D49" i="26"/>
  <c r="D40" i="26"/>
  <c r="D32" i="26"/>
  <c r="D43" i="26"/>
  <c r="D24" i="26"/>
  <c r="D34" i="26"/>
  <c r="D39" i="26"/>
  <c r="D38" i="26"/>
  <c r="D22" i="26"/>
  <c r="D33" i="26"/>
  <c r="D44" i="26"/>
  <c r="D35" i="26"/>
  <c r="D23" i="26"/>
  <c r="D29" i="26"/>
  <c r="D47" i="26"/>
  <c r="D28" i="26"/>
  <c r="D42" i="26"/>
  <c r="D26" i="26"/>
  <c r="D50" i="26"/>
  <c r="D45" i="26"/>
  <c r="D27" i="26"/>
  <c r="D36" i="26"/>
  <c r="D48" i="26"/>
  <c r="D37" i="26"/>
  <c r="D46" i="26"/>
  <c r="D41" i="26"/>
  <c r="D25" i="26"/>
  <c r="P42" i="26"/>
  <c r="P29" i="27"/>
  <c r="P28" i="26"/>
  <c r="P33" i="26"/>
  <c r="P35" i="27"/>
  <c r="P43" i="26"/>
  <c r="P50" i="26"/>
  <c r="P30" i="27"/>
  <c r="P28" i="27"/>
  <c r="P48" i="26"/>
  <c r="P46" i="26"/>
  <c r="P45" i="26"/>
  <c r="P39" i="26"/>
  <c r="P38" i="26"/>
  <c r="P34" i="26"/>
  <c r="P26" i="26"/>
  <c r="P49" i="26"/>
  <c r="P33" i="27"/>
  <c r="P29" i="26"/>
  <c r="P22" i="27"/>
  <c r="P24" i="27"/>
  <c r="P34" i="27"/>
  <c r="P27" i="26"/>
  <c r="P40" i="26"/>
  <c r="P32" i="26"/>
  <c r="P27" i="27"/>
  <c r="P26" i="27"/>
  <c r="P31" i="26"/>
  <c r="P30" i="26"/>
  <c r="P37" i="26"/>
  <c r="P31" i="27"/>
  <c r="P23" i="27"/>
  <c r="P41" i="26"/>
  <c r="P23" i="26"/>
  <c r="P22" i="26"/>
  <c r="P47" i="26"/>
  <c r="P25" i="27"/>
  <c r="P36" i="26"/>
  <c r="P44" i="26"/>
  <c r="P32" i="27"/>
  <c r="P24" i="26"/>
  <c r="P35" i="26"/>
  <c r="G4" i="26" l="1"/>
  <c r="H4" i="26" s="1"/>
  <c r="G7" i="26"/>
  <c r="G8" i="26"/>
  <c r="H8" i="26" s="1"/>
  <c r="G5" i="26"/>
  <c r="H5" i="26" s="1"/>
  <c r="G6" i="26"/>
  <c r="H6" i="26" s="1"/>
  <c r="G5" i="27"/>
  <c r="H5" i="27" s="1"/>
  <c r="G6" i="27"/>
  <c r="H6" i="27" s="1"/>
  <c r="G7" i="27"/>
  <c r="H7" i="27" s="1"/>
  <c r="G8" i="27"/>
  <c r="G4" i="27"/>
  <c r="I14" i="27"/>
  <c r="I18" i="27"/>
  <c r="I15" i="27"/>
  <c r="I16" i="27"/>
  <c r="I17" i="27"/>
  <c r="I13" i="27"/>
  <c r="K13" i="27" s="1"/>
  <c r="I18" i="26"/>
  <c r="K18" i="26" s="1"/>
  <c r="I17" i="26"/>
  <c r="K17" i="26" s="1"/>
  <c r="I14" i="26"/>
  <c r="K14" i="26" s="1"/>
  <c r="I15" i="26"/>
  <c r="K15" i="26" s="1"/>
  <c r="I16" i="26"/>
  <c r="K16" i="26" s="1"/>
  <c r="I13" i="26"/>
  <c r="K13" i="26" s="1"/>
  <c r="E8" i="26"/>
  <c r="D4" i="26"/>
  <c r="E3" i="26"/>
  <c r="E6" i="26"/>
  <c r="C7" i="26"/>
  <c r="E4" i="26"/>
  <c r="C8" i="26"/>
  <c r="C6" i="26"/>
  <c r="H7" i="26"/>
  <c r="D7" i="26"/>
  <c r="C4" i="26"/>
  <c r="C3" i="26"/>
  <c r="D5" i="26"/>
  <c r="C5" i="26"/>
  <c r="D3" i="26"/>
  <c r="D8" i="26"/>
  <c r="E7" i="26"/>
  <c r="D6" i="26"/>
  <c r="E5" i="26"/>
  <c r="G3" i="26"/>
  <c r="H3" i="26" s="1"/>
  <c r="E8" i="27"/>
  <c r="C8" i="27"/>
  <c r="D7" i="27"/>
  <c r="E6" i="27"/>
  <c r="D5" i="27"/>
  <c r="E4" i="27"/>
  <c r="C4" i="27"/>
  <c r="D3" i="27"/>
  <c r="C6" i="27"/>
  <c r="E7" i="27"/>
  <c r="D8" i="27"/>
  <c r="E5" i="27"/>
  <c r="H8" i="27"/>
  <c r="D6" i="27"/>
  <c r="E3" i="27"/>
  <c r="C5" i="27"/>
  <c r="D4" i="27"/>
  <c r="C7" i="27"/>
  <c r="C3" i="27"/>
  <c r="H4" i="27"/>
  <c r="G3" i="27"/>
  <c r="H3" i="27" s="1"/>
  <c r="I5" i="28"/>
  <c r="I9" i="28"/>
  <c r="I10" i="28"/>
  <c r="I4" i="28"/>
  <c r="I6" i="28"/>
  <c r="I7" i="28"/>
  <c r="I8" i="28"/>
  <c r="I3" i="28"/>
  <c r="K3" i="28"/>
  <c r="K9" i="28"/>
  <c r="K8" i="28"/>
  <c r="K5" i="28"/>
  <c r="K4" i="28"/>
  <c r="K7" i="28"/>
  <c r="K6" i="28"/>
  <c r="K10" i="28"/>
  <c r="F8" i="28"/>
  <c r="F3" i="28"/>
  <c r="F5" i="28"/>
  <c r="F7" i="28"/>
  <c r="F9" i="28"/>
  <c r="F6" i="28"/>
  <c r="F10" i="28"/>
  <c r="F4" i="28"/>
  <c r="K62" i="42"/>
  <c r="J59" i="42"/>
  <c r="K58" i="42"/>
  <c r="J51" i="42"/>
  <c r="K51" i="42" s="1"/>
  <c r="K50" i="42"/>
  <c r="J55" i="42"/>
  <c r="K54" i="42"/>
  <c r="J55" i="36"/>
  <c r="K54" i="36"/>
  <c r="J59" i="36"/>
  <c r="K58" i="36"/>
  <c r="K50" i="36"/>
  <c r="J51" i="36"/>
  <c r="K51" i="36" s="1"/>
  <c r="J67" i="36"/>
  <c r="J63" i="36"/>
  <c r="K62" i="36"/>
  <c r="K54" i="29"/>
  <c r="J55" i="29"/>
  <c r="J59" i="29"/>
  <c r="K46" i="29"/>
  <c r="J47" i="29"/>
  <c r="K50" i="29"/>
  <c r="J51" i="29"/>
  <c r="J43" i="29"/>
  <c r="K43" i="29" s="1"/>
  <c r="K42" i="29"/>
  <c r="I5" i="26" l="1"/>
  <c r="K8" i="26"/>
  <c r="F8" i="26"/>
  <c r="I4" i="26"/>
  <c r="F3" i="26"/>
  <c r="K3" i="26"/>
  <c r="F7" i="26"/>
  <c r="K7" i="26"/>
  <c r="K4" i="26"/>
  <c r="F4" i="26"/>
  <c r="I7" i="26"/>
  <c r="I6" i="26"/>
  <c r="I3" i="26"/>
  <c r="K6" i="26"/>
  <c r="F6" i="26"/>
  <c r="F5" i="26"/>
  <c r="K5" i="26"/>
  <c r="I8" i="26"/>
  <c r="K5" i="27"/>
  <c r="I3" i="27"/>
  <c r="I4" i="27"/>
  <c r="I5" i="27"/>
  <c r="I6" i="27"/>
  <c r="I7" i="27"/>
  <c r="I8" i="27"/>
  <c r="K4" i="27"/>
  <c r="K7" i="27"/>
  <c r="K6" i="27"/>
  <c r="K8" i="27"/>
  <c r="K3" i="27"/>
  <c r="F4" i="27"/>
  <c r="F3" i="27"/>
  <c r="F7" i="27"/>
  <c r="F5" i="27"/>
  <c r="F6" i="27"/>
  <c r="F8" i="27"/>
  <c r="J5" i="28"/>
  <c r="L5" i="28" s="1"/>
  <c r="J10" i="28"/>
  <c r="L10" i="28" s="1"/>
  <c r="J4" i="28"/>
  <c r="L4" i="28" s="1"/>
  <c r="J6" i="28"/>
  <c r="L6" i="28" s="1"/>
  <c r="J9" i="28"/>
  <c r="L9" i="28" s="1"/>
  <c r="J7" i="28"/>
  <c r="L7" i="28" s="1"/>
  <c r="J8" i="28"/>
  <c r="L8" i="28" s="1"/>
  <c r="J3" i="28"/>
  <c r="L3" i="28" s="1"/>
  <c r="J56" i="42"/>
  <c r="K56" i="42" s="1"/>
  <c r="K55" i="42"/>
  <c r="J60" i="42"/>
  <c r="K59" i="42"/>
  <c r="J64" i="36"/>
  <c r="K63" i="36"/>
  <c r="J72" i="36"/>
  <c r="J68" i="36"/>
  <c r="K67" i="36"/>
  <c r="J60" i="36"/>
  <c r="K59" i="36"/>
  <c r="J56" i="36"/>
  <c r="K56" i="36" s="1"/>
  <c r="K55" i="36"/>
  <c r="J64" i="29"/>
  <c r="J60" i="29"/>
  <c r="K59" i="29"/>
  <c r="K51" i="29"/>
  <c r="J52" i="29"/>
  <c r="J56" i="29"/>
  <c r="K55" i="29"/>
  <c r="K47" i="29"/>
  <c r="J48" i="29"/>
  <c r="K48" i="29" s="1"/>
  <c r="J3" i="26" l="1"/>
  <c r="L3" i="26" s="1"/>
  <c r="J7" i="26"/>
  <c r="L7" i="26" s="1"/>
  <c r="J5" i="26"/>
  <c r="L5" i="26" s="1"/>
  <c r="J4" i="26"/>
  <c r="L4" i="26" s="1"/>
  <c r="J8" i="26"/>
  <c r="L8" i="26" s="1"/>
  <c r="J6" i="26"/>
  <c r="L6" i="26" s="1"/>
  <c r="J5" i="27"/>
  <c r="L5" i="27" s="1"/>
  <c r="J8" i="27"/>
  <c r="L8" i="27" s="1"/>
  <c r="J6" i="27"/>
  <c r="L6" i="27" s="1"/>
  <c r="J7" i="27"/>
  <c r="L7" i="27" s="1"/>
  <c r="J4" i="27"/>
  <c r="L4" i="27" s="1"/>
  <c r="J3" i="27"/>
  <c r="L3" i="27" s="1"/>
  <c r="J61" i="42"/>
  <c r="K61" i="42" s="1"/>
  <c r="K60" i="42"/>
  <c r="J69" i="36"/>
  <c r="K68" i="36"/>
  <c r="J77" i="36"/>
  <c r="J73" i="36"/>
  <c r="K72" i="36"/>
  <c r="K60" i="36"/>
  <c r="J61" i="36"/>
  <c r="K61" i="36" s="1"/>
  <c r="J65" i="36"/>
  <c r="K64" i="36"/>
  <c r="K56" i="29"/>
  <c r="J57" i="29"/>
  <c r="J61" i="29"/>
  <c r="K60" i="29"/>
  <c r="K52" i="29"/>
  <c r="J53" i="29"/>
  <c r="K53" i="29" s="1"/>
  <c r="J69" i="29"/>
  <c r="J65" i="29"/>
  <c r="K64" i="29"/>
  <c r="M7" i="26" l="1"/>
  <c r="M6" i="26"/>
  <c r="M8" i="26"/>
  <c r="M4" i="26"/>
  <c r="M5" i="26"/>
  <c r="M3" i="26"/>
  <c r="M8" i="27"/>
  <c r="M7" i="27"/>
  <c r="M3" i="27"/>
  <c r="M5" i="27"/>
  <c r="M4" i="27"/>
  <c r="M6" i="27"/>
  <c r="J66" i="36"/>
  <c r="K66" i="36" s="1"/>
  <c r="K65" i="36"/>
  <c r="J74" i="36"/>
  <c r="K73" i="36"/>
  <c r="J82" i="36"/>
  <c r="J78" i="36"/>
  <c r="K77" i="36"/>
  <c r="J70" i="36"/>
  <c r="K69" i="36"/>
  <c r="J66" i="29"/>
  <c r="K65" i="29"/>
  <c r="K57" i="29"/>
  <c r="J58" i="29"/>
  <c r="K58" i="29" s="1"/>
  <c r="J70" i="29"/>
  <c r="K69" i="29"/>
  <c r="J62" i="29"/>
  <c r="K61" i="29"/>
  <c r="P17" i="27" l="1"/>
  <c r="P15" i="27"/>
  <c r="P18" i="27"/>
  <c r="P14" i="27"/>
  <c r="P13" i="27"/>
  <c r="P16" i="27"/>
  <c r="J71" i="36"/>
  <c r="K71" i="36" s="1"/>
  <c r="K70" i="36"/>
  <c r="J75" i="36"/>
  <c r="K74" i="36"/>
  <c r="J79" i="36"/>
  <c r="K78" i="36"/>
  <c r="K82" i="36"/>
  <c r="J87" i="36"/>
  <c r="J83" i="36"/>
  <c r="J63" i="29"/>
  <c r="K63" i="29" s="1"/>
  <c r="K62" i="29"/>
  <c r="K70" i="29"/>
  <c r="J71" i="29"/>
  <c r="K66" i="29"/>
  <c r="J67" i="29"/>
  <c r="X16" i="27" l="1"/>
  <c r="W16" i="27"/>
  <c r="T16" i="27"/>
  <c r="V16" i="27"/>
  <c r="S16" i="27"/>
  <c r="U16" i="27"/>
  <c r="R16" i="27"/>
  <c r="H16" i="27"/>
  <c r="X13" i="27"/>
  <c r="W13" i="27"/>
  <c r="T13" i="27"/>
  <c r="S13" i="27"/>
  <c r="V13" i="27"/>
  <c r="U13" i="27"/>
  <c r="R13" i="27"/>
  <c r="H13" i="27"/>
  <c r="X14" i="27"/>
  <c r="T14" i="27"/>
  <c r="W14" i="27"/>
  <c r="V14" i="27"/>
  <c r="U14" i="27"/>
  <c r="S14" i="27"/>
  <c r="R14" i="27"/>
  <c r="H14" i="27"/>
  <c r="X18" i="27"/>
  <c r="W18" i="27"/>
  <c r="V18" i="27"/>
  <c r="R18" i="27"/>
  <c r="U18" i="27"/>
  <c r="T18" i="27"/>
  <c r="S18" i="27"/>
  <c r="H18" i="27"/>
  <c r="X15" i="27"/>
  <c r="W15" i="27"/>
  <c r="R15" i="27"/>
  <c r="V15" i="27"/>
  <c r="T15" i="27"/>
  <c r="U15" i="27"/>
  <c r="S15" i="27"/>
  <c r="H15" i="27"/>
  <c r="X17" i="27"/>
  <c r="S17" i="27"/>
  <c r="R17" i="27"/>
  <c r="W17" i="27"/>
  <c r="V17" i="27"/>
  <c r="U17" i="27"/>
  <c r="T17" i="27"/>
  <c r="H17" i="27"/>
  <c r="J92" i="36"/>
  <c r="K87" i="36"/>
  <c r="J88" i="36"/>
  <c r="J76" i="36"/>
  <c r="K76" i="36" s="1"/>
  <c r="K75" i="36"/>
  <c r="K83" i="36"/>
  <c r="J84" i="36"/>
  <c r="J80" i="36"/>
  <c r="K79" i="36"/>
  <c r="J72" i="29"/>
  <c r="K71" i="29"/>
  <c r="J68" i="29"/>
  <c r="K68" i="29" s="1"/>
  <c r="K67" i="29"/>
  <c r="X47" i="21"/>
  <c r="W47" i="21"/>
  <c r="K47" i="21"/>
  <c r="I47" i="21"/>
  <c r="H47" i="21"/>
  <c r="X45" i="21"/>
  <c r="W45" i="21"/>
  <c r="K45" i="21"/>
  <c r="I45" i="21"/>
  <c r="H45" i="21"/>
  <c r="W43" i="21"/>
  <c r="X43" i="21" s="1"/>
  <c r="K43" i="21"/>
  <c r="W42" i="21"/>
  <c r="X42" i="21" s="1"/>
  <c r="K42" i="21"/>
  <c r="W41" i="21"/>
  <c r="X41" i="21" s="1"/>
  <c r="K41" i="21"/>
  <c r="W40" i="21"/>
  <c r="X40" i="21" s="1"/>
  <c r="K40" i="21"/>
  <c r="W39" i="21"/>
  <c r="X39" i="21" s="1"/>
  <c r="K39" i="21"/>
  <c r="W38" i="21"/>
  <c r="X38" i="21" s="1"/>
  <c r="K38" i="21"/>
  <c r="W37" i="21"/>
  <c r="X37" i="21" s="1"/>
  <c r="K37" i="21"/>
  <c r="W36" i="21"/>
  <c r="X36" i="21" s="1"/>
  <c r="K36" i="21"/>
  <c r="W35" i="21"/>
  <c r="X35" i="21" s="1"/>
  <c r="K35" i="21"/>
  <c r="W34" i="21"/>
  <c r="X34" i="21" s="1"/>
  <c r="K34" i="21"/>
  <c r="W33" i="21"/>
  <c r="X33" i="21" s="1"/>
  <c r="K33" i="21"/>
  <c r="W32" i="21"/>
  <c r="X32" i="21" s="1"/>
  <c r="K32" i="21"/>
  <c r="W31" i="21"/>
  <c r="X31" i="21" s="1"/>
  <c r="K31" i="21"/>
  <c r="W30" i="21"/>
  <c r="X30" i="21" s="1"/>
  <c r="K30" i="21"/>
  <c r="W29" i="21"/>
  <c r="X29" i="21" s="1"/>
  <c r="K29" i="21"/>
  <c r="W28" i="21"/>
  <c r="X28" i="21" s="1"/>
  <c r="K28" i="21"/>
  <c r="W27" i="21"/>
  <c r="X27" i="21" s="1"/>
  <c r="K27" i="21"/>
  <c r="W26" i="21"/>
  <c r="X26" i="21" s="1"/>
  <c r="K26" i="21"/>
  <c r="W25" i="21"/>
  <c r="X25" i="21" s="1"/>
  <c r="K25" i="21"/>
  <c r="W24" i="21"/>
  <c r="X24" i="21" s="1"/>
  <c r="K24" i="21"/>
  <c r="W23" i="21"/>
  <c r="X23" i="21" s="1"/>
  <c r="K14" i="27" l="1"/>
  <c r="K17" i="27"/>
  <c r="K18" i="27"/>
  <c r="K15" i="27"/>
  <c r="K16" i="27"/>
  <c r="K84" i="36"/>
  <c r="J85" i="36"/>
  <c r="K88" i="36"/>
  <c r="J89" i="36"/>
  <c r="J81" i="36"/>
  <c r="K81" i="36" s="1"/>
  <c r="K80" i="36"/>
  <c r="K92" i="36"/>
  <c r="J97" i="36"/>
  <c r="J93" i="36"/>
  <c r="J73" i="29"/>
  <c r="K72" i="29"/>
  <c r="F27" i="21"/>
  <c r="I27" i="21" s="1"/>
  <c r="G29" i="21"/>
  <c r="H29" i="21" s="1"/>
  <c r="F33" i="21"/>
  <c r="I33" i="21" s="1"/>
  <c r="G39" i="21"/>
  <c r="H39" i="21" s="1"/>
  <c r="G41" i="21"/>
  <c r="H41" i="21" s="1"/>
  <c r="F43" i="21"/>
  <c r="I43" i="21" s="1"/>
  <c r="G27" i="21"/>
  <c r="H27" i="21" s="1"/>
  <c r="F31" i="21"/>
  <c r="I31" i="21" s="1"/>
  <c r="G36" i="21"/>
  <c r="H36" i="21" s="1"/>
  <c r="G37" i="21"/>
  <c r="H37" i="21" s="1"/>
  <c r="F40" i="21"/>
  <c r="I40" i="21" s="1"/>
  <c r="F24" i="21"/>
  <c r="I24" i="21" s="1"/>
  <c r="G28" i="21"/>
  <c r="H28" i="21" s="1"/>
  <c r="F30" i="21"/>
  <c r="I30" i="21" s="1"/>
  <c r="G31" i="21"/>
  <c r="H31" i="21" s="1"/>
  <c r="F34" i="21"/>
  <c r="I34" i="21" s="1"/>
  <c r="G38" i="21"/>
  <c r="H38" i="21" s="1"/>
  <c r="G40" i="21"/>
  <c r="H40" i="21" s="1"/>
  <c r="G42" i="21"/>
  <c r="H42" i="21" s="1"/>
  <c r="G24" i="21"/>
  <c r="H24" i="21" s="1"/>
  <c r="F26" i="21"/>
  <c r="I26" i="21" s="1"/>
  <c r="G30" i="21"/>
  <c r="H30" i="21" s="1"/>
  <c r="G32" i="21"/>
  <c r="H32" i="21" s="1"/>
  <c r="F39" i="21"/>
  <c r="I39" i="21" s="1"/>
  <c r="F41" i="21"/>
  <c r="I41" i="21" s="1"/>
  <c r="F38" i="21"/>
  <c r="I38" i="21" s="1"/>
  <c r="F35" i="21"/>
  <c r="I35" i="21" s="1"/>
  <c r="F32" i="21"/>
  <c r="I32" i="21" s="1"/>
  <c r="F29" i="21"/>
  <c r="I29" i="21" s="1"/>
  <c r="F37" i="21"/>
  <c r="I37" i="21" s="1"/>
  <c r="F36" i="21"/>
  <c r="I36" i="21" s="1"/>
  <c r="G35" i="21"/>
  <c r="H35" i="21" s="1"/>
  <c r="G34" i="21"/>
  <c r="H34" i="21" s="1"/>
  <c r="G33" i="21"/>
  <c r="H33" i="21" s="1"/>
  <c r="F28" i="21"/>
  <c r="I28" i="21" s="1"/>
  <c r="G26" i="21"/>
  <c r="H26" i="21" s="1"/>
  <c r="F25" i="21"/>
  <c r="I25" i="21" s="1"/>
  <c r="F23" i="21"/>
  <c r="I23" i="21" s="1"/>
  <c r="G23" i="21"/>
  <c r="H23" i="21" s="1"/>
  <c r="G25" i="21"/>
  <c r="H25" i="21" s="1"/>
  <c r="F42" i="21"/>
  <c r="I42" i="21" s="1"/>
  <c r="G43" i="21"/>
  <c r="H43" i="21" s="1"/>
  <c r="K73" i="29" l="1"/>
  <c r="J75" i="29"/>
  <c r="J98" i="36"/>
  <c r="J100" i="36" s="1"/>
  <c r="K97" i="36"/>
  <c r="J90" i="36"/>
  <c r="K89" i="36"/>
  <c r="K85" i="36"/>
  <c r="J86" i="36"/>
  <c r="K86" i="36" s="1"/>
  <c r="J94" i="36"/>
  <c r="K93" i="36"/>
  <c r="D36" i="21"/>
  <c r="D43" i="21"/>
  <c r="D28" i="21"/>
  <c r="D41" i="21"/>
  <c r="D25" i="21"/>
  <c r="D26" i="21"/>
  <c r="D35" i="21"/>
  <c r="D32" i="21"/>
  <c r="D42" i="21"/>
  <c r="D31" i="21"/>
  <c r="D37" i="21"/>
  <c r="D30" i="21"/>
  <c r="D40" i="21"/>
  <c r="D29" i="21"/>
  <c r="D33" i="21"/>
  <c r="D38" i="21"/>
  <c r="D34" i="21"/>
  <c r="D24" i="21"/>
  <c r="D27" i="21"/>
  <c r="D39" i="21"/>
  <c r="J95" i="36" l="1"/>
  <c r="K94" i="36"/>
  <c r="J91" i="36"/>
  <c r="K91" i="36" s="1"/>
  <c r="K90" i="36"/>
  <c r="K98" i="36"/>
  <c r="J66" i="42" l="1"/>
  <c r="K66" i="42" s="1"/>
  <c r="K64" i="42"/>
  <c r="J96" i="36"/>
  <c r="K96" i="36" s="1"/>
  <c r="K95" i="36"/>
  <c r="X68" i="10"/>
  <c r="W68" i="10"/>
  <c r="X66" i="10"/>
  <c r="W66" i="10"/>
  <c r="W64" i="10"/>
  <c r="X64" i="10" s="1"/>
  <c r="W63" i="10"/>
  <c r="X63" i="10" s="1"/>
  <c r="W62" i="10"/>
  <c r="X62" i="10" s="1"/>
  <c r="W61" i="10"/>
  <c r="X61" i="10" s="1"/>
  <c r="W60" i="10"/>
  <c r="X60" i="10" s="1"/>
  <c r="W59" i="10"/>
  <c r="X59" i="10" s="1"/>
  <c r="W58" i="10"/>
  <c r="X58" i="10" s="1"/>
  <c r="W57" i="10"/>
  <c r="X57" i="10" s="1"/>
  <c r="W56" i="10"/>
  <c r="X56" i="10" s="1"/>
  <c r="W55" i="10"/>
  <c r="X55" i="10" s="1"/>
  <c r="W54" i="10"/>
  <c r="X54" i="10" s="1"/>
  <c r="W53" i="10"/>
  <c r="X53" i="10" s="1"/>
  <c r="W52" i="10"/>
  <c r="X52" i="10" s="1"/>
  <c r="W51" i="10"/>
  <c r="X51" i="10" s="1"/>
  <c r="W50" i="10"/>
  <c r="X50" i="10" s="1"/>
  <c r="W49" i="10"/>
  <c r="X49" i="10" s="1"/>
  <c r="W48" i="10"/>
  <c r="X48" i="10" s="1"/>
  <c r="W47" i="10"/>
  <c r="X47" i="10" s="1"/>
  <c r="W46" i="10"/>
  <c r="X46" i="10" s="1"/>
  <c r="W45" i="10"/>
  <c r="X45" i="10" s="1"/>
  <c r="W44" i="10"/>
  <c r="X44" i="10" s="1"/>
  <c r="W43" i="10"/>
  <c r="X43" i="10" s="1"/>
  <c r="W42" i="10"/>
  <c r="X42" i="10" s="1"/>
  <c r="W41" i="10"/>
  <c r="X41" i="10" s="1"/>
  <c r="W40" i="10"/>
  <c r="X40" i="10" s="1"/>
  <c r="W39" i="10"/>
  <c r="X39" i="10" s="1"/>
  <c r="W38" i="10"/>
  <c r="X38" i="10" s="1"/>
  <c r="W37" i="10"/>
  <c r="X37" i="10" s="1"/>
  <c r="W36" i="10"/>
  <c r="X36" i="10" s="1"/>
  <c r="W35" i="10"/>
  <c r="X35" i="10" s="1"/>
  <c r="W34" i="10"/>
  <c r="X34" i="10" s="1"/>
  <c r="W33" i="10"/>
  <c r="X33" i="10" s="1"/>
  <c r="W32" i="10"/>
  <c r="X32" i="10" s="1"/>
  <c r="W31" i="10"/>
  <c r="X31" i="10" s="1"/>
  <c r="W30" i="10"/>
  <c r="X30" i="10" s="1"/>
  <c r="W29" i="10"/>
  <c r="X29" i="10" s="1"/>
  <c r="W28" i="10"/>
  <c r="X28" i="10" s="1"/>
  <c r="W27" i="10"/>
  <c r="X27" i="10" s="1"/>
  <c r="W26" i="10"/>
  <c r="X26" i="10" s="1"/>
  <c r="W25" i="10"/>
  <c r="X25" i="10" s="1"/>
  <c r="W24" i="10"/>
  <c r="X24" i="10" s="1"/>
  <c r="W23" i="10"/>
  <c r="X23" i="10" s="1"/>
  <c r="X84" i="11"/>
  <c r="W84" i="11"/>
  <c r="X82" i="11"/>
  <c r="W82" i="11"/>
  <c r="W80" i="11"/>
  <c r="X80" i="11" s="1"/>
  <c r="W79" i="11"/>
  <c r="X79" i="11" s="1"/>
  <c r="W78" i="11"/>
  <c r="X78" i="11" s="1"/>
  <c r="W77" i="11"/>
  <c r="X77" i="11" s="1"/>
  <c r="W76" i="11"/>
  <c r="X76" i="11" s="1"/>
  <c r="W75" i="11"/>
  <c r="X75" i="11" s="1"/>
  <c r="W74" i="11"/>
  <c r="X74" i="11" s="1"/>
  <c r="W73" i="11"/>
  <c r="X73" i="11" s="1"/>
  <c r="W72" i="11"/>
  <c r="X72" i="11" s="1"/>
  <c r="W71" i="11"/>
  <c r="X71" i="11" s="1"/>
  <c r="W70" i="11"/>
  <c r="X70" i="11" s="1"/>
  <c r="W69" i="11"/>
  <c r="X69" i="11" s="1"/>
  <c r="W68" i="11"/>
  <c r="X68" i="11" s="1"/>
  <c r="W67" i="11"/>
  <c r="X67" i="11" s="1"/>
  <c r="W66" i="11"/>
  <c r="X66" i="11" s="1"/>
  <c r="W65" i="11"/>
  <c r="X65" i="11" s="1"/>
  <c r="W64" i="11"/>
  <c r="X64" i="11" s="1"/>
  <c r="W63" i="11"/>
  <c r="X63" i="11" s="1"/>
  <c r="W62" i="11"/>
  <c r="X62" i="11" s="1"/>
  <c r="W61" i="11"/>
  <c r="X61" i="11" s="1"/>
  <c r="W60" i="11"/>
  <c r="X60" i="11" s="1"/>
  <c r="W59" i="11"/>
  <c r="X59" i="11" s="1"/>
  <c r="W58" i="11"/>
  <c r="X58" i="11" s="1"/>
  <c r="W57" i="11"/>
  <c r="X57" i="11" s="1"/>
  <c r="W56" i="11"/>
  <c r="X56" i="11" s="1"/>
  <c r="W55" i="11"/>
  <c r="X55" i="11" s="1"/>
  <c r="W54" i="11"/>
  <c r="X54" i="11" s="1"/>
  <c r="W53" i="11"/>
  <c r="X53" i="11" s="1"/>
  <c r="W52" i="11"/>
  <c r="X52" i="11" s="1"/>
  <c r="W51" i="11"/>
  <c r="X51" i="11" s="1"/>
  <c r="W50" i="11"/>
  <c r="X50" i="11" s="1"/>
  <c r="W49" i="11"/>
  <c r="X49" i="11" s="1"/>
  <c r="W48" i="11"/>
  <c r="X48" i="11" s="1"/>
  <c r="W47" i="11"/>
  <c r="X47" i="11" s="1"/>
  <c r="W46" i="11"/>
  <c r="X46" i="11" s="1"/>
  <c r="W45" i="11"/>
  <c r="X45" i="11" s="1"/>
  <c r="W44" i="11"/>
  <c r="X44" i="11" s="1"/>
  <c r="W43" i="11"/>
  <c r="X43" i="11" s="1"/>
  <c r="W42" i="11"/>
  <c r="X42" i="11" s="1"/>
  <c r="W41" i="11"/>
  <c r="X41" i="11" s="1"/>
  <c r="W40" i="11"/>
  <c r="X40" i="11" s="1"/>
  <c r="W39" i="11"/>
  <c r="X39" i="11" s="1"/>
  <c r="W38" i="11"/>
  <c r="X38" i="11" s="1"/>
  <c r="W37" i="11"/>
  <c r="X37" i="11" s="1"/>
  <c r="W36" i="11"/>
  <c r="X36" i="11" s="1"/>
  <c r="W35" i="11"/>
  <c r="X35" i="11" s="1"/>
  <c r="W34" i="11"/>
  <c r="X34" i="11" s="1"/>
  <c r="W33" i="11"/>
  <c r="X33" i="11" s="1"/>
  <c r="W32" i="11"/>
  <c r="X32" i="11" s="1"/>
  <c r="W31" i="11"/>
  <c r="X31" i="11" s="1"/>
  <c r="W30" i="11"/>
  <c r="X30" i="11" s="1"/>
  <c r="W29" i="11"/>
  <c r="X29" i="11" s="1"/>
  <c r="W28" i="11"/>
  <c r="X28" i="11" s="1"/>
  <c r="W27" i="11"/>
  <c r="X27" i="11" s="1"/>
  <c r="W26" i="11"/>
  <c r="X26" i="11" s="1"/>
  <c r="W25" i="11"/>
  <c r="X25" i="11" s="1"/>
  <c r="Z122" i="12"/>
  <c r="Y122" i="12"/>
  <c r="Z120" i="12"/>
  <c r="Y120" i="12"/>
  <c r="Y118" i="12"/>
  <c r="Z118" i="12" s="1"/>
  <c r="Y117" i="12"/>
  <c r="Z117" i="12" s="1"/>
  <c r="Y116" i="12"/>
  <c r="Z116" i="12" s="1"/>
  <c r="Y115" i="12"/>
  <c r="Z115" i="12" s="1"/>
  <c r="Y114" i="12"/>
  <c r="Z114" i="12" s="1"/>
  <c r="Y113" i="12"/>
  <c r="Z113" i="12" s="1"/>
  <c r="Y112" i="12"/>
  <c r="Z112" i="12" s="1"/>
  <c r="Y111" i="12"/>
  <c r="Z111" i="12" s="1"/>
  <c r="Y110" i="12"/>
  <c r="Z110" i="12" s="1"/>
  <c r="Y109" i="12"/>
  <c r="Z109" i="12" s="1"/>
  <c r="Y108" i="12"/>
  <c r="Z108" i="12" s="1"/>
  <c r="Y107" i="12"/>
  <c r="Z107" i="12" s="1"/>
  <c r="Y106" i="12"/>
  <c r="Z106" i="12" s="1"/>
  <c r="Y105" i="12"/>
  <c r="Z105" i="12" s="1"/>
  <c r="Y104" i="12"/>
  <c r="Z104" i="12" s="1"/>
  <c r="Y103" i="12"/>
  <c r="Z103" i="12" s="1"/>
  <c r="Y102" i="12"/>
  <c r="Z102" i="12" s="1"/>
  <c r="Y101" i="12"/>
  <c r="Z101" i="12" s="1"/>
  <c r="Y100" i="12"/>
  <c r="Z100" i="12" s="1"/>
  <c r="Y99" i="12"/>
  <c r="Z99" i="12" s="1"/>
  <c r="Y98" i="12"/>
  <c r="Z98" i="12" s="1"/>
  <c r="Y97" i="12"/>
  <c r="Z97" i="12" s="1"/>
  <c r="Y96" i="12"/>
  <c r="Z96" i="12" s="1"/>
  <c r="Y95" i="12"/>
  <c r="Z95" i="12" s="1"/>
  <c r="Y94" i="12"/>
  <c r="Z94" i="12" s="1"/>
  <c r="Y93" i="12"/>
  <c r="Z93" i="12" s="1"/>
  <c r="Y92" i="12"/>
  <c r="Z92" i="12" s="1"/>
  <c r="Y91" i="12"/>
  <c r="Z91" i="12" s="1"/>
  <c r="Y90" i="12"/>
  <c r="Z90" i="12" s="1"/>
  <c r="Y89" i="12"/>
  <c r="Z89" i="12" s="1"/>
  <c r="Y88" i="12"/>
  <c r="Z88" i="12" s="1"/>
  <c r="Y87" i="12"/>
  <c r="Z87" i="12" s="1"/>
  <c r="Y86" i="12"/>
  <c r="Z86" i="12" s="1"/>
  <c r="Y85" i="12"/>
  <c r="Z85" i="12" s="1"/>
  <c r="Y84" i="12"/>
  <c r="Z84" i="12" s="1"/>
  <c r="Y83" i="12"/>
  <c r="Z83" i="12" s="1"/>
  <c r="Y82" i="12"/>
  <c r="Z82" i="12" s="1"/>
  <c r="Y81" i="12"/>
  <c r="Z81" i="12" s="1"/>
  <c r="Y80" i="12"/>
  <c r="Z80" i="12" s="1"/>
  <c r="Y79" i="12"/>
  <c r="Z79" i="12" s="1"/>
  <c r="Y78" i="12"/>
  <c r="Z78" i="12" s="1"/>
  <c r="Y77" i="12"/>
  <c r="Z77" i="12" s="1"/>
  <c r="Y76" i="12"/>
  <c r="Z76" i="12" s="1"/>
  <c r="Y75" i="12"/>
  <c r="Z75" i="12" s="1"/>
  <c r="Y74" i="12"/>
  <c r="Z74" i="12" s="1"/>
  <c r="Y73" i="12"/>
  <c r="Z73" i="12" s="1"/>
  <c r="Y72" i="12"/>
  <c r="Z72" i="12" s="1"/>
  <c r="Y71" i="12"/>
  <c r="Z71" i="12" s="1"/>
  <c r="Y70" i="12"/>
  <c r="Z70" i="12" s="1"/>
  <c r="Y69" i="12"/>
  <c r="Z69" i="12" s="1"/>
  <c r="Y68" i="12"/>
  <c r="Z68" i="12" s="1"/>
  <c r="Y67" i="12"/>
  <c r="Z67" i="12" s="1"/>
  <c r="Y66" i="12"/>
  <c r="Z66" i="12" s="1"/>
  <c r="Y65" i="12"/>
  <c r="Z65" i="12" s="1"/>
  <c r="Y64" i="12"/>
  <c r="Z64" i="12" s="1"/>
  <c r="Y63" i="12"/>
  <c r="Z63" i="12" s="1"/>
  <c r="Y62" i="12"/>
  <c r="Z62" i="12" s="1"/>
  <c r="Y61" i="12"/>
  <c r="Z61" i="12" s="1"/>
  <c r="Y60" i="12"/>
  <c r="Z60" i="12" s="1"/>
  <c r="Y59" i="12"/>
  <c r="Z59" i="12" s="1"/>
  <c r="Y58" i="12"/>
  <c r="Z58" i="12" s="1"/>
  <c r="Y57" i="12"/>
  <c r="Z57" i="12" s="1"/>
  <c r="Y56" i="12"/>
  <c r="Z56" i="12" s="1"/>
  <c r="Y55" i="12"/>
  <c r="Z55" i="12" s="1"/>
  <c r="Y54" i="12"/>
  <c r="Z54" i="12" s="1"/>
  <c r="Y53" i="12"/>
  <c r="Z53" i="12" s="1"/>
  <c r="Y52" i="12"/>
  <c r="Z52" i="12" s="1"/>
  <c r="Y51" i="12"/>
  <c r="Z51" i="12" s="1"/>
  <c r="Y50" i="12"/>
  <c r="Z50" i="12" s="1"/>
  <c r="Y49" i="12"/>
  <c r="Z49" i="12" s="1"/>
  <c r="Y48" i="12"/>
  <c r="Z48" i="12" s="1"/>
  <c r="Y47" i="12"/>
  <c r="Z47" i="12" s="1"/>
  <c r="Y46" i="12"/>
  <c r="Z46" i="12" s="1"/>
  <c r="Y45" i="12"/>
  <c r="Z45" i="12" s="1"/>
  <c r="Y44" i="12"/>
  <c r="Z44" i="12" s="1"/>
  <c r="Y43" i="12"/>
  <c r="Z43" i="12" s="1"/>
  <c r="Y42" i="12"/>
  <c r="Z42" i="12" s="1"/>
  <c r="Y41" i="12"/>
  <c r="Z41" i="12" s="1"/>
  <c r="Y40" i="12"/>
  <c r="Z40" i="12" s="1"/>
  <c r="Y39" i="12"/>
  <c r="Z39" i="12" s="1"/>
  <c r="Y38" i="12"/>
  <c r="Z38" i="12" s="1"/>
  <c r="Y37" i="12"/>
  <c r="Z37" i="12" s="1"/>
  <c r="Y36" i="12"/>
  <c r="Z36" i="12" s="1"/>
  <c r="Y35" i="12"/>
  <c r="Z35" i="12" s="1"/>
  <c r="Y34" i="12"/>
  <c r="Z34" i="12" s="1"/>
  <c r="Y33" i="12"/>
  <c r="Z33" i="12" s="1"/>
  <c r="Y32" i="12"/>
  <c r="Z32" i="12" s="1"/>
  <c r="Y31" i="12"/>
  <c r="Z31" i="12" s="1"/>
  <c r="Y30" i="12"/>
  <c r="Z30" i="12" s="1"/>
  <c r="Y29" i="12"/>
  <c r="Z29" i="12" s="1"/>
  <c r="D1" i="13" l="1"/>
  <c r="I122" i="12"/>
  <c r="H122" i="12"/>
  <c r="I120" i="12"/>
  <c r="H120" i="12"/>
  <c r="J34" i="12"/>
  <c r="K34" i="12" s="1"/>
  <c r="J30" i="12"/>
  <c r="J31" i="12" s="1"/>
  <c r="K84" i="11"/>
  <c r="I84" i="11"/>
  <c r="H84" i="11"/>
  <c r="K82" i="11"/>
  <c r="I82" i="11"/>
  <c r="H82"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68" i="10"/>
  <c r="I68" i="10"/>
  <c r="H68" i="10"/>
  <c r="K66" i="10"/>
  <c r="I66" i="10"/>
  <c r="H66"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B82" i="4"/>
  <c r="B3" i="4"/>
  <c r="C2" i="4"/>
  <c r="S34" i="52" l="1"/>
  <c r="S26" i="53"/>
  <c r="S30" i="49"/>
  <c r="S32" i="47"/>
  <c r="S28" i="46"/>
  <c r="S20" i="49"/>
  <c r="S32" i="52"/>
  <c r="S24" i="53"/>
  <c r="S28" i="49"/>
  <c r="S30" i="47"/>
  <c r="S26" i="46"/>
  <c r="S22" i="45"/>
  <c r="S30" i="52"/>
  <c r="S22" i="53"/>
  <c r="S26" i="49"/>
  <c r="S28" i="47"/>
  <c r="S24" i="46"/>
  <c r="S20" i="52"/>
  <c r="S24" i="52"/>
  <c r="S18" i="46"/>
  <c r="S20" i="47"/>
  <c r="S32" i="49"/>
  <c r="S28" i="52"/>
  <c r="S40" i="49"/>
  <c r="S24" i="49"/>
  <c r="S26" i="47"/>
  <c r="S22" i="46"/>
  <c r="S20" i="53"/>
  <c r="S36" i="49"/>
  <c r="S38" i="52"/>
  <c r="S22" i="52"/>
  <c r="S18" i="49"/>
  <c r="S36" i="52"/>
  <c r="S26" i="52"/>
  <c r="S38" i="49"/>
  <c r="S22" i="49"/>
  <c r="S24" i="47"/>
  <c r="S20" i="46"/>
  <c r="S22" i="47"/>
  <c r="S34" i="49"/>
  <c r="S28" i="53"/>
  <c r="S34" i="47"/>
  <c r="S18" i="47"/>
  <c r="S20" i="45"/>
  <c r="S18" i="45"/>
  <c r="S26" i="28"/>
  <c r="S27" i="28" s="1"/>
  <c r="S28" i="28" s="1"/>
  <c r="T96" i="36"/>
  <c r="T97" i="36" s="1"/>
  <c r="T98" i="36" s="1"/>
  <c r="T44" i="36"/>
  <c r="T45" i="36" s="1"/>
  <c r="T46" i="36" s="1"/>
  <c r="S46" i="28"/>
  <c r="S47" i="28" s="1"/>
  <c r="S48" i="28" s="1"/>
  <c r="T68" i="36"/>
  <c r="T69" i="36" s="1"/>
  <c r="T70" i="36" s="1"/>
  <c r="T92" i="36"/>
  <c r="T93" i="36" s="1"/>
  <c r="T94" i="36" s="1"/>
  <c r="T88" i="36"/>
  <c r="T89" i="36" s="1"/>
  <c r="T90" i="36" s="1"/>
  <c r="T64" i="36"/>
  <c r="T65" i="36" s="1"/>
  <c r="T66" i="36" s="1"/>
  <c r="T44" i="42"/>
  <c r="T45" i="42" s="1"/>
  <c r="T46" i="42" s="1"/>
  <c r="S38" i="28"/>
  <c r="S39" i="28" s="1"/>
  <c r="S40" i="28" s="1"/>
  <c r="T60" i="42"/>
  <c r="T61" i="42" s="1"/>
  <c r="T62" i="42" s="1"/>
  <c r="T76" i="36"/>
  <c r="T77" i="36" s="1"/>
  <c r="T78" i="36" s="1"/>
  <c r="T52" i="42"/>
  <c r="T53" i="42" s="1"/>
  <c r="T54" i="42" s="1"/>
  <c r="T40" i="36"/>
  <c r="T41" i="36" s="1"/>
  <c r="T42" i="36" s="1"/>
  <c r="T60" i="36"/>
  <c r="T61" i="36" s="1"/>
  <c r="T62" i="36" s="1"/>
  <c r="T36" i="36"/>
  <c r="T37" i="36" s="1"/>
  <c r="T38" i="36" s="1"/>
  <c r="T40" i="42"/>
  <c r="T41" i="42" s="1"/>
  <c r="T42" i="42" s="1"/>
  <c r="S34" i="28"/>
  <c r="S35" i="28" s="1"/>
  <c r="S36" i="28" s="1"/>
  <c r="T52" i="36"/>
  <c r="T53" i="36" s="1"/>
  <c r="T54" i="36" s="1"/>
  <c r="T32" i="42"/>
  <c r="T33" i="42" s="1"/>
  <c r="T34" i="42" s="1"/>
  <c r="S50" i="28"/>
  <c r="S51" i="28" s="1"/>
  <c r="S52" i="28" s="1"/>
  <c r="T84" i="36"/>
  <c r="T85" i="36" s="1"/>
  <c r="T86" i="36" s="1"/>
  <c r="T56" i="36"/>
  <c r="T57" i="36" s="1"/>
  <c r="T58" i="36" s="1"/>
  <c r="T32" i="36"/>
  <c r="T33" i="36" s="1"/>
  <c r="T34" i="36" s="1"/>
  <c r="T36" i="42"/>
  <c r="T37" i="42" s="1"/>
  <c r="T38" i="42" s="1"/>
  <c r="S30" i="28"/>
  <c r="S31" i="28" s="1"/>
  <c r="S32" i="28" s="1"/>
  <c r="T56" i="42"/>
  <c r="T57" i="42" s="1"/>
  <c r="T58" i="42" s="1"/>
  <c r="T48" i="36"/>
  <c r="T49" i="36" s="1"/>
  <c r="T50" i="36" s="1"/>
  <c r="T48" i="42"/>
  <c r="T49" i="42" s="1"/>
  <c r="T50" i="42" s="1"/>
  <c r="S42" i="28"/>
  <c r="S43" i="28" s="1"/>
  <c r="S44" i="28" s="1"/>
  <c r="T80" i="36"/>
  <c r="T81" i="36" s="1"/>
  <c r="T82" i="36" s="1"/>
  <c r="T72" i="36"/>
  <c r="T73" i="36" s="1"/>
  <c r="T74" i="36" s="1"/>
  <c r="T28" i="36"/>
  <c r="T29" i="36" s="1"/>
  <c r="T30" i="36" s="1"/>
  <c r="T28" i="42"/>
  <c r="T29" i="42" s="1"/>
  <c r="T30" i="42" s="1"/>
  <c r="U50" i="29"/>
  <c r="U51" i="29" s="1"/>
  <c r="U52" i="29" s="1"/>
  <c r="U53" i="29" s="1"/>
  <c r="U40" i="29"/>
  <c r="U41" i="29" s="1"/>
  <c r="U42" i="29" s="1"/>
  <c r="U43" i="29" s="1"/>
  <c r="U30" i="29"/>
  <c r="U31" i="29" s="1"/>
  <c r="U32" i="29" s="1"/>
  <c r="U33" i="29" s="1"/>
  <c r="U55" i="29"/>
  <c r="U56" i="29" s="1"/>
  <c r="U57" i="29" s="1"/>
  <c r="U58" i="29" s="1"/>
  <c r="U60" i="29" s="1"/>
  <c r="U61" i="29" s="1"/>
  <c r="U62" i="29" s="1"/>
  <c r="U63" i="29" s="1"/>
  <c r="U65" i="29" s="1"/>
  <c r="U66" i="29" s="1"/>
  <c r="U67" i="29" s="1"/>
  <c r="U68" i="29" s="1"/>
  <c r="U70" i="29" s="1"/>
  <c r="U71" i="29" s="1"/>
  <c r="U72" i="29" s="1"/>
  <c r="U73" i="29" s="1"/>
  <c r="U45" i="29"/>
  <c r="U46" i="29" s="1"/>
  <c r="U47" i="29" s="1"/>
  <c r="U48" i="29" s="1"/>
  <c r="U35" i="29"/>
  <c r="U36" i="29" s="1"/>
  <c r="U37" i="29" s="1"/>
  <c r="U38" i="29" s="1"/>
  <c r="S31" i="27"/>
  <c r="S32" i="27" s="1"/>
  <c r="S46" i="26"/>
  <c r="S47" i="26" s="1"/>
  <c r="S34" i="26"/>
  <c r="S35" i="26" s="1"/>
  <c r="S22" i="26"/>
  <c r="S23" i="26" s="1"/>
  <c r="S34" i="27"/>
  <c r="S35" i="27" s="1"/>
  <c r="S22" i="27"/>
  <c r="S23" i="27" s="1"/>
  <c r="S49" i="26"/>
  <c r="S50" i="26" s="1"/>
  <c r="S37" i="26"/>
  <c r="S38" i="26" s="1"/>
  <c r="S25" i="26"/>
  <c r="S26" i="26" s="1"/>
  <c r="S25" i="27"/>
  <c r="S26" i="27" s="1"/>
  <c r="S40" i="26"/>
  <c r="S41" i="26" s="1"/>
  <c r="S28" i="26"/>
  <c r="S29" i="26" s="1"/>
  <c r="S28" i="27"/>
  <c r="S29" i="27" s="1"/>
  <c r="S43" i="26"/>
  <c r="S44" i="26" s="1"/>
  <c r="S31" i="26"/>
  <c r="S32" i="26" s="1"/>
  <c r="S36" i="21"/>
  <c r="S37" i="21" s="1"/>
  <c r="S24" i="21"/>
  <c r="S25" i="21" s="1"/>
  <c r="S39" i="21"/>
  <c r="S40" i="21" s="1"/>
  <c r="S27" i="21"/>
  <c r="S28" i="21" s="1"/>
  <c r="S42" i="21"/>
  <c r="S43" i="21" s="1"/>
  <c r="S30" i="21"/>
  <c r="S31" i="21" s="1"/>
  <c r="S33" i="21"/>
  <c r="S34" i="21" s="1"/>
  <c r="J35" i="12"/>
  <c r="J39" i="12"/>
  <c r="J40" i="12" s="1"/>
  <c r="S63" i="10"/>
  <c r="S64" i="10" s="1"/>
  <c r="S45" i="10"/>
  <c r="S46" i="10" s="1"/>
  <c r="S36" i="10"/>
  <c r="S37" i="10" s="1"/>
  <c r="S27" i="10"/>
  <c r="S28" i="10" s="1"/>
  <c r="S78" i="11"/>
  <c r="S79" i="11" s="1"/>
  <c r="S80" i="11" s="1"/>
  <c r="S62" i="11"/>
  <c r="S63" i="11" s="1"/>
  <c r="S64" i="11" s="1"/>
  <c r="S50" i="11"/>
  <c r="S51" i="11" s="1"/>
  <c r="S52" i="11" s="1"/>
  <c r="S38" i="11"/>
  <c r="S39" i="11" s="1"/>
  <c r="S40" i="11" s="1"/>
  <c r="S26" i="11"/>
  <c r="S27" i="11" s="1"/>
  <c r="S28" i="11" s="1"/>
  <c r="U55" i="12"/>
  <c r="U56" i="12" s="1"/>
  <c r="U57" i="12" s="1"/>
  <c r="U58" i="12" s="1"/>
  <c r="U59" i="12" s="1"/>
  <c r="U60" i="12" s="1"/>
  <c r="U61" i="12" s="1"/>
  <c r="U62" i="12" s="1"/>
  <c r="U63" i="12" s="1"/>
  <c r="U64" i="12" s="1"/>
  <c r="U65" i="12" s="1"/>
  <c r="U66" i="12" s="1"/>
  <c r="U67" i="12" s="1"/>
  <c r="U68" i="12" s="1"/>
  <c r="U69" i="12" s="1"/>
  <c r="U70" i="12" s="1"/>
  <c r="U71" i="12" s="1"/>
  <c r="U72" i="12" s="1"/>
  <c r="U73" i="12" s="1"/>
  <c r="U74" i="12" s="1"/>
  <c r="U75" i="12" s="1"/>
  <c r="U76" i="12" s="1"/>
  <c r="U77" i="12" s="1"/>
  <c r="U78" i="12" s="1"/>
  <c r="U79" i="12" s="1"/>
  <c r="U80" i="12" s="1"/>
  <c r="U81" i="12" s="1"/>
  <c r="U82" i="12" s="1"/>
  <c r="U83" i="12" s="1"/>
  <c r="U84" i="12" s="1"/>
  <c r="U85" i="12" s="1"/>
  <c r="U86" i="12" s="1"/>
  <c r="U87" i="12" s="1"/>
  <c r="U88" i="12" s="1"/>
  <c r="U89" i="12" s="1"/>
  <c r="U90" i="12" s="1"/>
  <c r="U91" i="12" s="1"/>
  <c r="U92" i="12" s="1"/>
  <c r="U93" i="12" s="1"/>
  <c r="U94" i="12" s="1"/>
  <c r="U95" i="12" s="1"/>
  <c r="U96" i="12" s="1"/>
  <c r="U97" i="12" s="1"/>
  <c r="U98" i="12" s="1"/>
  <c r="U99" i="12" s="1"/>
  <c r="U100" i="12" s="1"/>
  <c r="U101" i="12" s="1"/>
  <c r="U102" i="12" s="1"/>
  <c r="U103" i="12" s="1"/>
  <c r="U104" i="12" s="1"/>
  <c r="U105" i="12" s="1"/>
  <c r="U106" i="12" s="1"/>
  <c r="U107" i="12" s="1"/>
  <c r="U108" i="12" s="1"/>
  <c r="U109" i="12" s="1"/>
  <c r="U110" i="12" s="1"/>
  <c r="U111" i="12" s="1"/>
  <c r="U112" i="12" s="1"/>
  <c r="U113" i="12" s="1"/>
  <c r="U114" i="12" s="1"/>
  <c r="U115" i="12" s="1"/>
  <c r="U116" i="12" s="1"/>
  <c r="U117" i="12" s="1"/>
  <c r="U118" i="12" s="1"/>
  <c r="U50" i="12"/>
  <c r="U51" i="12" s="1"/>
  <c r="U52" i="12" s="1"/>
  <c r="U53" i="12" s="1"/>
  <c r="U30" i="12"/>
  <c r="U31" i="12" s="1"/>
  <c r="U32" i="12" s="1"/>
  <c r="U33" i="12" s="1"/>
  <c r="S54" i="10"/>
  <c r="S55" i="10" s="1"/>
  <c r="S42" i="10"/>
  <c r="S43" i="10" s="1"/>
  <c r="S33" i="10"/>
  <c r="S34" i="10" s="1"/>
  <c r="S74" i="11"/>
  <c r="S75" i="11" s="1"/>
  <c r="S76" i="11" s="1"/>
  <c r="S46" i="11"/>
  <c r="S47" i="11" s="1"/>
  <c r="S48" i="11" s="1"/>
  <c r="S34" i="11"/>
  <c r="S35" i="11" s="1"/>
  <c r="S36" i="11" s="1"/>
  <c r="S60" i="10"/>
  <c r="S61" i="10" s="1"/>
  <c r="S51" i="10"/>
  <c r="S52" i="10" s="1"/>
  <c r="S39" i="10"/>
  <c r="S40" i="10" s="1"/>
  <c r="S24" i="10"/>
  <c r="S25" i="10" s="1"/>
  <c r="S70" i="11"/>
  <c r="S71" i="11" s="1"/>
  <c r="S72" i="11" s="1"/>
  <c r="S58" i="11"/>
  <c r="S59" i="11" s="1"/>
  <c r="S60" i="11" s="1"/>
  <c r="S30" i="11"/>
  <c r="S31" i="11" s="1"/>
  <c r="S32" i="11" s="1"/>
  <c r="U45" i="12"/>
  <c r="U46" i="12" s="1"/>
  <c r="U47" i="12" s="1"/>
  <c r="U48" i="12" s="1"/>
  <c r="U40" i="12"/>
  <c r="U41" i="12" s="1"/>
  <c r="U42" i="12" s="1"/>
  <c r="U43" i="12" s="1"/>
  <c r="U35" i="12"/>
  <c r="U36" i="12" s="1"/>
  <c r="U37" i="12" s="1"/>
  <c r="U38" i="12" s="1"/>
  <c r="S57" i="10"/>
  <c r="S58" i="10" s="1"/>
  <c r="S48" i="10"/>
  <c r="S49" i="10" s="1"/>
  <c r="S30" i="10"/>
  <c r="S31" i="10" s="1"/>
  <c r="S66" i="11"/>
  <c r="S67" i="11" s="1"/>
  <c r="S68" i="11" s="1"/>
  <c r="S54" i="11"/>
  <c r="S55" i="11" s="1"/>
  <c r="S56" i="11" s="1"/>
  <c r="S42" i="11"/>
  <c r="S43" i="11" s="1"/>
  <c r="S44" i="11" s="1"/>
  <c r="F72" i="11"/>
  <c r="I72" i="11" s="1"/>
  <c r="F65" i="11"/>
  <c r="I65" i="11" s="1"/>
  <c r="F59" i="10"/>
  <c r="I59" i="10" s="1"/>
  <c r="G54" i="10"/>
  <c r="H54" i="10" s="1"/>
  <c r="G70" i="11"/>
  <c r="H70" i="11" s="1"/>
  <c r="G28" i="10"/>
  <c r="H28" i="10" s="1"/>
  <c r="F48" i="10"/>
  <c r="I48" i="10" s="1"/>
  <c r="F61" i="10"/>
  <c r="I61" i="10" s="1"/>
  <c r="F24" i="10"/>
  <c r="I24" i="10" s="1"/>
  <c r="F30" i="10"/>
  <c r="I30" i="10" s="1"/>
  <c r="G35" i="10"/>
  <c r="H35" i="10" s="1"/>
  <c r="F44" i="10"/>
  <c r="I44" i="10" s="1"/>
  <c r="G50" i="10"/>
  <c r="H50" i="10" s="1"/>
  <c r="F53" i="10"/>
  <c r="I53" i="10" s="1"/>
  <c r="G32" i="11"/>
  <c r="H32" i="11" s="1"/>
  <c r="G24" i="10"/>
  <c r="H24" i="10" s="1"/>
  <c r="G27" i="10"/>
  <c r="H27" i="10" s="1"/>
  <c r="F31" i="10"/>
  <c r="I31" i="10" s="1"/>
  <c r="G34" i="10"/>
  <c r="H34" i="10" s="1"/>
  <c r="F43" i="10"/>
  <c r="I43" i="10" s="1"/>
  <c r="G27" i="11"/>
  <c r="H27" i="11" s="1"/>
  <c r="F29" i="11"/>
  <c r="I29" i="11" s="1"/>
  <c r="F30" i="11"/>
  <c r="I30" i="11" s="1"/>
  <c r="F41" i="11"/>
  <c r="I41" i="11" s="1"/>
  <c r="G68" i="11"/>
  <c r="H68" i="11" s="1"/>
  <c r="F50" i="12"/>
  <c r="I50" i="12" s="1"/>
  <c r="G42" i="12"/>
  <c r="H42" i="12" s="1"/>
  <c r="F38" i="12"/>
  <c r="I38" i="12" s="1"/>
  <c r="G37" i="10"/>
  <c r="H37" i="10" s="1"/>
  <c r="G57" i="10"/>
  <c r="H57" i="10" s="1"/>
  <c r="F45" i="10"/>
  <c r="I45" i="10" s="1"/>
  <c r="F42" i="10"/>
  <c r="I42" i="10" s="1"/>
  <c r="F38" i="10"/>
  <c r="I38" i="10" s="1"/>
  <c r="F37" i="10"/>
  <c r="I37" i="10" s="1"/>
  <c r="F36" i="10"/>
  <c r="I36" i="10" s="1"/>
  <c r="F34" i="10"/>
  <c r="I34" i="10" s="1"/>
  <c r="G64" i="10"/>
  <c r="H64" i="10" s="1"/>
  <c r="G53" i="10"/>
  <c r="H53" i="10" s="1"/>
  <c r="F49" i="10"/>
  <c r="I49" i="10" s="1"/>
  <c r="G43" i="10"/>
  <c r="H43" i="10" s="1"/>
  <c r="G39" i="10"/>
  <c r="H39" i="10" s="1"/>
  <c r="G32" i="10"/>
  <c r="H32" i="10" s="1"/>
  <c r="G31" i="10"/>
  <c r="H31" i="10" s="1"/>
  <c r="G30" i="10"/>
  <c r="H30" i="10" s="1"/>
  <c r="G25" i="10"/>
  <c r="H25" i="10" s="1"/>
  <c r="G23" i="10"/>
  <c r="H23" i="10" s="1"/>
  <c r="F27" i="10"/>
  <c r="I27" i="10" s="1"/>
  <c r="F33" i="10"/>
  <c r="I33" i="10" s="1"/>
  <c r="F46" i="10"/>
  <c r="I46" i="10" s="1"/>
  <c r="F52" i="10"/>
  <c r="I52" i="10" s="1"/>
  <c r="F63" i="10"/>
  <c r="I63" i="10" s="1"/>
  <c r="F31" i="11"/>
  <c r="I31" i="11" s="1"/>
  <c r="G34" i="11"/>
  <c r="H34" i="11" s="1"/>
  <c r="G37" i="11"/>
  <c r="H37" i="11" s="1"/>
  <c r="F63" i="11"/>
  <c r="I63" i="11" s="1"/>
  <c r="F26" i="10"/>
  <c r="I26" i="10" s="1"/>
  <c r="F28" i="10"/>
  <c r="I28" i="10" s="1"/>
  <c r="F29" i="10"/>
  <c r="I29" i="10" s="1"/>
  <c r="G40" i="10"/>
  <c r="H40" i="10" s="1"/>
  <c r="F43" i="11"/>
  <c r="I43" i="11" s="1"/>
  <c r="F50" i="11"/>
  <c r="I50" i="11" s="1"/>
  <c r="F49" i="11"/>
  <c r="I49" i="11" s="1"/>
  <c r="G73" i="11"/>
  <c r="H73" i="11" s="1"/>
  <c r="F67" i="11"/>
  <c r="I67" i="11" s="1"/>
  <c r="G52" i="11"/>
  <c r="H52" i="11" s="1"/>
  <c r="F46" i="11"/>
  <c r="I46" i="11" s="1"/>
  <c r="G43" i="11"/>
  <c r="H43" i="11" s="1"/>
  <c r="F42" i="11"/>
  <c r="I42" i="11" s="1"/>
  <c r="F35" i="11"/>
  <c r="I35" i="11" s="1"/>
  <c r="G29" i="11"/>
  <c r="H29" i="11" s="1"/>
  <c r="F28" i="11"/>
  <c r="I28" i="11" s="1"/>
  <c r="G26" i="11"/>
  <c r="H26" i="11" s="1"/>
  <c r="F26" i="11"/>
  <c r="I26" i="11" s="1"/>
  <c r="G30" i="11"/>
  <c r="H30" i="11" s="1"/>
  <c r="F33" i="11"/>
  <c r="I33" i="11" s="1"/>
  <c r="G39" i="11"/>
  <c r="H39" i="11" s="1"/>
  <c r="G44" i="11"/>
  <c r="H44" i="11" s="1"/>
  <c r="F48" i="11"/>
  <c r="I48" i="11" s="1"/>
  <c r="G61" i="11"/>
  <c r="H61" i="11" s="1"/>
  <c r="F71" i="11"/>
  <c r="I71" i="11" s="1"/>
  <c r="G72" i="11"/>
  <c r="H72" i="11" s="1"/>
  <c r="G76" i="11"/>
  <c r="H76" i="11" s="1"/>
  <c r="G78" i="11"/>
  <c r="H78" i="11" s="1"/>
  <c r="G25" i="11"/>
  <c r="H25" i="11" s="1"/>
  <c r="F32" i="11"/>
  <c r="I32" i="11" s="1"/>
  <c r="G33" i="11"/>
  <c r="H33" i="11" s="1"/>
  <c r="G36" i="11"/>
  <c r="H36" i="11" s="1"/>
  <c r="G40" i="11"/>
  <c r="H40" i="11" s="1"/>
  <c r="G42" i="11"/>
  <c r="H42" i="11" s="1"/>
  <c r="G47" i="11"/>
  <c r="H47" i="11" s="1"/>
  <c r="G53" i="11"/>
  <c r="H53" i="11" s="1"/>
  <c r="G54" i="11"/>
  <c r="H54" i="11" s="1"/>
  <c r="F80" i="11"/>
  <c r="I80" i="11" s="1"/>
  <c r="G63" i="10"/>
  <c r="H63" i="10" s="1"/>
  <c r="F62" i="10"/>
  <c r="I62" i="10" s="1"/>
  <c r="G59" i="10"/>
  <c r="H59" i="10" s="1"/>
  <c r="F58" i="10"/>
  <c r="I58" i="10" s="1"/>
  <c r="G55" i="10"/>
  <c r="H55" i="10" s="1"/>
  <c r="F54" i="10"/>
  <c r="I54" i="10" s="1"/>
  <c r="G51" i="10"/>
  <c r="H51" i="10" s="1"/>
  <c r="F50" i="10"/>
  <c r="I50" i="10" s="1"/>
  <c r="G48" i="10"/>
  <c r="H48" i="10" s="1"/>
  <c r="F47" i="10"/>
  <c r="I47" i="10" s="1"/>
  <c r="G44" i="10"/>
  <c r="H44" i="10" s="1"/>
  <c r="G41" i="10"/>
  <c r="H41" i="10" s="1"/>
  <c r="F40" i="10"/>
  <c r="I40" i="10" s="1"/>
  <c r="G38" i="10"/>
  <c r="H38" i="10" s="1"/>
  <c r="G62" i="10"/>
  <c r="H62" i="10" s="1"/>
  <c r="G61" i="10"/>
  <c r="H61" i="10" s="1"/>
  <c r="G60" i="10"/>
  <c r="H60" i="10" s="1"/>
  <c r="F57" i="10"/>
  <c r="I57" i="10" s="1"/>
  <c r="F56" i="10"/>
  <c r="I56" i="10" s="1"/>
  <c r="F55" i="10"/>
  <c r="I55" i="10" s="1"/>
  <c r="G47" i="10"/>
  <c r="H47" i="10" s="1"/>
  <c r="G46" i="10"/>
  <c r="H46" i="10" s="1"/>
  <c r="G45" i="10"/>
  <c r="H45" i="10" s="1"/>
  <c r="F23" i="10"/>
  <c r="I23" i="10" s="1"/>
  <c r="F25" i="10"/>
  <c r="I25" i="10" s="1"/>
  <c r="G26" i="10"/>
  <c r="H26" i="10" s="1"/>
  <c r="G29" i="10"/>
  <c r="H29" i="10" s="1"/>
  <c r="F32" i="10"/>
  <c r="I32" i="10" s="1"/>
  <c r="G33" i="10"/>
  <c r="H33" i="10" s="1"/>
  <c r="F35" i="10"/>
  <c r="I35" i="10" s="1"/>
  <c r="G36" i="10"/>
  <c r="H36" i="10" s="1"/>
  <c r="F39" i="10"/>
  <c r="I39" i="10" s="1"/>
  <c r="F41" i="10"/>
  <c r="I41" i="10" s="1"/>
  <c r="G42" i="10"/>
  <c r="H42" i="10" s="1"/>
  <c r="G49" i="10"/>
  <c r="H49" i="10" s="1"/>
  <c r="F51" i="10"/>
  <c r="I51" i="10" s="1"/>
  <c r="G52" i="10"/>
  <c r="H52" i="10" s="1"/>
  <c r="G56" i="10"/>
  <c r="H56" i="10" s="1"/>
  <c r="G58" i="10"/>
  <c r="H58" i="10" s="1"/>
  <c r="F60" i="10"/>
  <c r="I60" i="10" s="1"/>
  <c r="F64" i="10"/>
  <c r="I64" i="10" s="1"/>
  <c r="F118" i="12"/>
  <c r="I118" i="12" s="1"/>
  <c r="F117" i="12"/>
  <c r="I117" i="12" s="1"/>
  <c r="F116" i="12"/>
  <c r="I116" i="12" s="1"/>
  <c r="F115" i="12"/>
  <c r="I115" i="12" s="1"/>
  <c r="F114" i="12"/>
  <c r="I114" i="12" s="1"/>
  <c r="F113" i="12"/>
  <c r="I113" i="12" s="1"/>
  <c r="F112" i="12"/>
  <c r="I112" i="12" s="1"/>
  <c r="F111" i="12"/>
  <c r="I111" i="12" s="1"/>
  <c r="F110" i="12"/>
  <c r="I110" i="12" s="1"/>
  <c r="F109" i="12"/>
  <c r="I109" i="12" s="1"/>
  <c r="F108" i="12"/>
  <c r="I108" i="12" s="1"/>
  <c r="F107" i="12"/>
  <c r="I107" i="12" s="1"/>
  <c r="F106" i="12"/>
  <c r="I106" i="12" s="1"/>
  <c r="F105" i="12"/>
  <c r="I105" i="12" s="1"/>
  <c r="F104" i="12"/>
  <c r="I104" i="12" s="1"/>
  <c r="F103" i="12"/>
  <c r="I103" i="12" s="1"/>
  <c r="F102" i="12"/>
  <c r="I102" i="12" s="1"/>
  <c r="F101" i="12"/>
  <c r="I101" i="12" s="1"/>
  <c r="F100" i="12"/>
  <c r="I100" i="12" s="1"/>
  <c r="G118" i="12"/>
  <c r="H118" i="12" s="1"/>
  <c r="G117" i="12"/>
  <c r="H117" i="12" s="1"/>
  <c r="G116" i="12"/>
  <c r="H116" i="12" s="1"/>
  <c r="G115" i="12"/>
  <c r="H115" i="12" s="1"/>
  <c r="G114" i="12"/>
  <c r="H114" i="12" s="1"/>
  <c r="G113" i="12"/>
  <c r="H113" i="12" s="1"/>
  <c r="G112" i="12"/>
  <c r="H112" i="12" s="1"/>
  <c r="G111" i="12"/>
  <c r="H111" i="12" s="1"/>
  <c r="G110" i="12"/>
  <c r="H110" i="12" s="1"/>
  <c r="G109" i="12"/>
  <c r="H109" i="12" s="1"/>
  <c r="G108" i="12"/>
  <c r="H108" i="12" s="1"/>
  <c r="G107" i="12"/>
  <c r="H107" i="12" s="1"/>
  <c r="G106" i="12"/>
  <c r="H106" i="12" s="1"/>
  <c r="G105" i="12"/>
  <c r="H105" i="12" s="1"/>
  <c r="G104" i="12"/>
  <c r="H104" i="12" s="1"/>
  <c r="G103" i="12"/>
  <c r="H103" i="12" s="1"/>
  <c r="G102" i="12"/>
  <c r="H102" i="12" s="1"/>
  <c r="G101" i="12"/>
  <c r="H101" i="12" s="1"/>
  <c r="G100" i="12"/>
  <c r="H100" i="12" s="1"/>
  <c r="G99" i="12"/>
  <c r="H99" i="12" s="1"/>
  <c r="G98" i="12"/>
  <c r="H98" i="12" s="1"/>
  <c r="G97" i="12"/>
  <c r="H97" i="12" s="1"/>
  <c r="G96" i="12"/>
  <c r="H96" i="12" s="1"/>
  <c r="G95" i="12"/>
  <c r="H95" i="12" s="1"/>
  <c r="G94" i="12"/>
  <c r="H94" i="12" s="1"/>
  <c r="G93" i="12"/>
  <c r="H93" i="12" s="1"/>
  <c r="G92" i="12"/>
  <c r="H92" i="12" s="1"/>
  <c r="G91" i="12"/>
  <c r="H91" i="12" s="1"/>
  <c r="G90" i="12"/>
  <c r="H90" i="12" s="1"/>
  <c r="G89" i="12"/>
  <c r="H89" i="12" s="1"/>
  <c r="G88" i="12"/>
  <c r="H88" i="12" s="1"/>
  <c r="G87" i="12"/>
  <c r="H87" i="12" s="1"/>
  <c r="G86" i="12"/>
  <c r="H86" i="12" s="1"/>
  <c r="G85" i="12"/>
  <c r="H85" i="12" s="1"/>
  <c r="G84" i="12"/>
  <c r="H84" i="12" s="1"/>
  <c r="F99" i="12"/>
  <c r="I99" i="12" s="1"/>
  <c r="F97" i="12"/>
  <c r="I97" i="12" s="1"/>
  <c r="F95" i="12"/>
  <c r="I95" i="12" s="1"/>
  <c r="F93" i="12"/>
  <c r="I93" i="12" s="1"/>
  <c r="G49" i="12"/>
  <c r="H49" i="12" s="1"/>
  <c r="G48" i="12"/>
  <c r="H48" i="12" s="1"/>
  <c r="G47" i="12"/>
  <c r="H47" i="12" s="1"/>
  <c r="G46" i="12"/>
  <c r="H46" i="12" s="1"/>
  <c r="G45" i="12"/>
  <c r="H45" i="12" s="1"/>
  <c r="F44" i="12"/>
  <c r="I44" i="12" s="1"/>
  <c r="F98" i="12"/>
  <c r="I98" i="12" s="1"/>
  <c r="F96" i="12"/>
  <c r="I96" i="12" s="1"/>
  <c r="F94" i="12"/>
  <c r="I94" i="12" s="1"/>
  <c r="F82" i="12"/>
  <c r="I82" i="12" s="1"/>
  <c r="G81" i="12"/>
  <c r="H81" i="12" s="1"/>
  <c r="F78" i="12"/>
  <c r="I78" i="12" s="1"/>
  <c r="G77" i="12"/>
  <c r="H77" i="12" s="1"/>
  <c r="F74" i="12"/>
  <c r="I74" i="12" s="1"/>
  <c r="G73" i="12"/>
  <c r="H73" i="12" s="1"/>
  <c r="F70" i="12"/>
  <c r="I70" i="12" s="1"/>
  <c r="G69" i="12"/>
  <c r="H69" i="12" s="1"/>
  <c r="F66" i="12"/>
  <c r="I66" i="12" s="1"/>
  <c r="G65" i="12"/>
  <c r="H65" i="12" s="1"/>
  <c r="F62" i="12"/>
  <c r="I62" i="12" s="1"/>
  <c r="G61" i="12"/>
  <c r="H61" i="12" s="1"/>
  <c r="F58" i="12"/>
  <c r="I58" i="12" s="1"/>
  <c r="G57" i="12"/>
  <c r="H57" i="12" s="1"/>
  <c r="F91" i="12"/>
  <c r="I91" i="12" s="1"/>
  <c r="F89" i="12"/>
  <c r="I89" i="12" s="1"/>
  <c r="F87" i="12"/>
  <c r="I87" i="12" s="1"/>
  <c r="F85" i="12"/>
  <c r="I85" i="12" s="1"/>
  <c r="F81" i="12"/>
  <c r="I81" i="12" s="1"/>
  <c r="G80" i="12"/>
  <c r="H80" i="12" s="1"/>
  <c r="F77" i="12"/>
  <c r="I77" i="12" s="1"/>
  <c r="G76" i="12"/>
  <c r="H76" i="12" s="1"/>
  <c r="F73" i="12"/>
  <c r="I73" i="12" s="1"/>
  <c r="G72" i="12"/>
  <c r="H72" i="12" s="1"/>
  <c r="F90" i="12"/>
  <c r="I90" i="12" s="1"/>
  <c r="F86" i="12"/>
  <c r="I86" i="12" s="1"/>
  <c r="F83" i="12"/>
  <c r="I83" i="12" s="1"/>
  <c r="F79" i="12"/>
  <c r="I79" i="12" s="1"/>
  <c r="F75" i="12"/>
  <c r="I75" i="12" s="1"/>
  <c r="F71" i="12"/>
  <c r="I71" i="12" s="1"/>
  <c r="F68" i="12"/>
  <c r="I68" i="12" s="1"/>
  <c r="F67" i="12"/>
  <c r="I67" i="12" s="1"/>
  <c r="F64" i="12"/>
  <c r="I64" i="12" s="1"/>
  <c r="F63" i="12"/>
  <c r="I63" i="12" s="1"/>
  <c r="F60" i="12"/>
  <c r="I60" i="12" s="1"/>
  <c r="F59" i="12"/>
  <c r="I59" i="12" s="1"/>
  <c r="F56" i="12"/>
  <c r="I56" i="12" s="1"/>
  <c r="G55" i="12"/>
  <c r="H55" i="12" s="1"/>
  <c r="G54" i="12"/>
  <c r="H54" i="12" s="1"/>
  <c r="F51" i="12"/>
  <c r="I51" i="12" s="1"/>
  <c r="G50" i="12"/>
  <c r="H50" i="12" s="1"/>
  <c r="G39" i="12"/>
  <c r="H39" i="12" s="1"/>
  <c r="G38" i="12"/>
  <c r="H38" i="12" s="1"/>
  <c r="G37" i="12"/>
  <c r="H37" i="12" s="1"/>
  <c r="G36" i="12"/>
  <c r="H36" i="12" s="1"/>
  <c r="G35" i="12"/>
  <c r="H35" i="12" s="1"/>
  <c r="F34" i="12"/>
  <c r="I34" i="12" s="1"/>
  <c r="F33" i="12"/>
  <c r="I33" i="12" s="1"/>
  <c r="F32" i="12"/>
  <c r="I32" i="12" s="1"/>
  <c r="F31" i="12"/>
  <c r="I31" i="12" s="1"/>
  <c r="F30" i="12"/>
  <c r="I30" i="12" s="1"/>
  <c r="G29" i="12"/>
  <c r="H29" i="12" s="1"/>
  <c r="F92" i="12"/>
  <c r="I92" i="12" s="1"/>
  <c r="F88" i="12"/>
  <c r="I88" i="12" s="1"/>
  <c r="F84" i="12"/>
  <c r="I84" i="12" s="1"/>
  <c r="F80" i="12"/>
  <c r="I80" i="12" s="1"/>
  <c r="F76" i="12"/>
  <c r="I76" i="12" s="1"/>
  <c r="F72" i="12"/>
  <c r="I72" i="12" s="1"/>
  <c r="G70" i="12"/>
  <c r="H70" i="12" s="1"/>
  <c r="G66" i="12"/>
  <c r="H66" i="12" s="1"/>
  <c r="G62" i="12"/>
  <c r="H62" i="12" s="1"/>
  <c r="G58" i="12"/>
  <c r="H58" i="12" s="1"/>
  <c r="F53" i="12"/>
  <c r="I53" i="12" s="1"/>
  <c r="G52" i="12"/>
  <c r="H52" i="12" s="1"/>
  <c r="G44" i="12"/>
  <c r="H44" i="12" s="1"/>
  <c r="F43" i="12"/>
  <c r="I43" i="12" s="1"/>
  <c r="F42" i="12"/>
  <c r="I42" i="12" s="1"/>
  <c r="F41" i="12"/>
  <c r="I41" i="12" s="1"/>
  <c r="F40" i="12"/>
  <c r="I40" i="12" s="1"/>
  <c r="G83" i="12"/>
  <c r="H83" i="12" s="1"/>
  <c r="G79" i="12"/>
  <c r="H79" i="12" s="1"/>
  <c r="G75" i="12"/>
  <c r="H75" i="12" s="1"/>
  <c r="G71" i="12"/>
  <c r="H71" i="12" s="1"/>
  <c r="G68" i="12"/>
  <c r="H68" i="12" s="1"/>
  <c r="G67" i="12"/>
  <c r="H67" i="12" s="1"/>
  <c r="G64" i="12"/>
  <c r="H64" i="12" s="1"/>
  <c r="G63" i="12"/>
  <c r="H63" i="12" s="1"/>
  <c r="G60" i="12"/>
  <c r="H60" i="12" s="1"/>
  <c r="G59" i="12"/>
  <c r="H59" i="12" s="1"/>
  <c r="G56" i="12"/>
  <c r="H56" i="12" s="1"/>
  <c r="F52" i="12"/>
  <c r="I52" i="12" s="1"/>
  <c r="G51" i="12"/>
  <c r="H51" i="12" s="1"/>
  <c r="F48" i="12"/>
  <c r="I48" i="12" s="1"/>
  <c r="F46" i="12"/>
  <c r="I46" i="12" s="1"/>
  <c r="G34" i="12"/>
  <c r="H34" i="12" s="1"/>
  <c r="G33" i="12"/>
  <c r="H33" i="12" s="1"/>
  <c r="G32" i="12"/>
  <c r="H32" i="12" s="1"/>
  <c r="G31" i="12"/>
  <c r="H31" i="12" s="1"/>
  <c r="G30" i="12"/>
  <c r="H30" i="12" s="1"/>
  <c r="G78" i="12"/>
  <c r="H78" i="12" s="1"/>
  <c r="F57" i="12"/>
  <c r="I57" i="12" s="1"/>
  <c r="F55" i="12"/>
  <c r="I55" i="12" s="1"/>
  <c r="F54" i="12"/>
  <c r="I54" i="12" s="1"/>
  <c r="F61" i="12"/>
  <c r="I61" i="12" s="1"/>
  <c r="F49" i="12"/>
  <c r="I49" i="12" s="1"/>
  <c r="F47" i="12"/>
  <c r="I47" i="12" s="1"/>
  <c r="G43" i="12"/>
  <c r="H43" i="12" s="1"/>
  <c r="F39" i="12"/>
  <c r="I39" i="12" s="1"/>
  <c r="F29" i="12"/>
  <c r="I29" i="12" s="1"/>
  <c r="F69" i="12"/>
  <c r="I69" i="12" s="1"/>
  <c r="G41" i="12"/>
  <c r="H41" i="12" s="1"/>
  <c r="G40" i="12"/>
  <c r="H40" i="12" s="1"/>
  <c r="F35" i="12"/>
  <c r="I35" i="12" s="1"/>
  <c r="G82" i="12"/>
  <c r="H82" i="12" s="1"/>
  <c r="G74" i="12"/>
  <c r="H74" i="12" s="1"/>
  <c r="J32" i="12"/>
  <c r="K31" i="12"/>
  <c r="F36" i="12"/>
  <c r="I36" i="12" s="1"/>
  <c r="F37" i="12"/>
  <c r="I37" i="12" s="1"/>
  <c r="F45" i="12"/>
  <c r="I45" i="12" s="1"/>
  <c r="G53" i="12"/>
  <c r="H53" i="12" s="1"/>
  <c r="F65" i="12"/>
  <c r="I65" i="12" s="1"/>
  <c r="F55" i="11"/>
  <c r="I55" i="11" s="1"/>
  <c r="F56" i="11"/>
  <c r="I56" i="11" s="1"/>
  <c r="F57" i="11"/>
  <c r="I57" i="11" s="1"/>
  <c r="F69" i="11"/>
  <c r="I69" i="11" s="1"/>
  <c r="G79" i="11"/>
  <c r="H79" i="11" s="1"/>
  <c r="F78" i="11"/>
  <c r="I78" i="11" s="1"/>
  <c r="G75" i="11"/>
  <c r="H75" i="11" s="1"/>
  <c r="F74" i="11"/>
  <c r="I74" i="11" s="1"/>
  <c r="G71" i="11"/>
  <c r="H71" i="11" s="1"/>
  <c r="F70" i="11"/>
  <c r="I70" i="11" s="1"/>
  <c r="G67" i="11"/>
  <c r="H67" i="11" s="1"/>
  <c r="F66" i="11"/>
  <c r="I66" i="11" s="1"/>
  <c r="G63" i="11"/>
  <c r="H63" i="11" s="1"/>
  <c r="F62" i="11"/>
  <c r="I62" i="11" s="1"/>
  <c r="G59" i="11"/>
  <c r="H59" i="11" s="1"/>
  <c r="F58" i="11"/>
  <c r="I58" i="11" s="1"/>
  <c r="G55" i="11"/>
  <c r="H55" i="11" s="1"/>
  <c r="F54" i="11"/>
  <c r="I54" i="11" s="1"/>
  <c r="G51" i="11"/>
  <c r="H51" i="11" s="1"/>
  <c r="G48" i="11"/>
  <c r="H48" i="11" s="1"/>
  <c r="F47" i="11"/>
  <c r="I47" i="11" s="1"/>
  <c r="G45" i="11"/>
  <c r="H45" i="11" s="1"/>
  <c r="F44" i="11"/>
  <c r="I44" i="11" s="1"/>
  <c r="G41" i="11"/>
  <c r="H41" i="11" s="1"/>
  <c r="G38" i="11"/>
  <c r="H38" i="11" s="1"/>
  <c r="F37" i="11"/>
  <c r="I37" i="11" s="1"/>
  <c r="G35" i="11"/>
  <c r="H35" i="11" s="1"/>
  <c r="F34" i="11"/>
  <c r="I34" i="11" s="1"/>
  <c r="G31" i="11"/>
  <c r="H31" i="11" s="1"/>
  <c r="G28" i="11"/>
  <c r="H28" i="11" s="1"/>
  <c r="F27" i="11"/>
  <c r="I27" i="11" s="1"/>
  <c r="F25" i="11"/>
  <c r="I25" i="11" s="1"/>
  <c r="G80" i="11"/>
  <c r="H80" i="11" s="1"/>
  <c r="F77" i="11"/>
  <c r="I77" i="11" s="1"/>
  <c r="F76" i="11"/>
  <c r="I76" i="11" s="1"/>
  <c r="F75" i="11"/>
  <c r="I75" i="11" s="1"/>
  <c r="G66" i="11"/>
  <c r="H66" i="11" s="1"/>
  <c r="G65" i="11"/>
  <c r="H65" i="11" s="1"/>
  <c r="G64" i="11"/>
  <c r="H64" i="11" s="1"/>
  <c r="F61" i="11"/>
  <c r="I61" i="11" s="1"/>
  <c r="F60" i="11"/>
  <c r="I60" i="11" s="1"/>
  <c r="F59" i="11"/>
  <c r="I59" i="11" s="1"/>
  <c r="F36" i="11"/>
  <c r="I36" i="11" s="1"/>
  <c r="F38" i="11"/>
  <c r="I38" i="11" s="1"/>
  <c r="F39" i="11"/>
  <c r="I39" i="11" s="1"/>
  <c r="F40" i="11"/>
  <c r="I40" i="11" s="1"/>
  <c r="F45" i="11"/>
  <c r="I45" i="11" s="1"/>
  <c r="G46" i="11"/>
  <c r="H46" i="11" s="1"/>
  <c r="G49" i="11"/>
  <c r="H49" i="11" s="1"/>
  <c r="G50" i="11"/>
  <c r="H50" i="11" s="1"/>
  <c r="F51" i="11"/>
  <c r="I51" i="11" s="1"/>
  <c r="F52" i="11"/>
  <c r="I52" i="11" s="1"/>
  <c r="F53" i="11"/>
  <c r="I53" i="11" s="1"/>
  <c r="G56" i="11"/>
  <c r="H56" i="11" s="1"/>
  <c r="G57" i="11"/>
  <c r="H57" i="11" s="1"/>
  <c r="G58" i="11"/>
  <c r="H58" i="11" s="1"/>
  <c r="G60" i="11"/>
  <c r="H60" i="11" s="1"/>
  <c r="G62" i="11"/>
  <c r="H62" i="11" s="1"/>
  <c r="F64" i="11"/>
  <c r="I64" i="11" s="1"/>
  <c r="F68" i="11"/>
  <c r="I68" i="11" s="1"/>
  <c r="G69" i="11"/>
  <c r="H69" i="11" s="1"/>
  <c r="F73" i="11"/>
  <c r="I73" i="11" s="1"/>
  <c r="G74" i="11"/>
  <c r="H74" i="11" s="1"/>
  <c r="G77" i="11"/>
  <c r="H77" i="11" s="1"/>
  <c r="F79" i="11"/>
  <c r="I79" i="11" s="1"/>
  <c r="K39" i="12"/>
  <c r="K30" i="12"/>
  <c r="P25" i="11"/>
  <c r="J44" i="12" l="1"/>
  <c r="K35" i="12"/>
  <c r="J36" i="12"/>
  <c r="K36" i="12" l="1"/>
  <c r="J37" i="12"/>
  <c r="K100" i="36" l="1"/>
  <c r="J102" i="36"/>
  <c r="K102" i="36" s="1"/>
  <c r="D31" i="11"/>
  <c r="D55" i="11"/>
  <c r="D82" i="12"/>
  <c r="D31" i="12"/>
  <c r="D64" i="12"/>
  <c r="D66" i="12"/>
  <c r="D37" i="12"/>
  <c r="D80" i="12"/>
  <c r="D61" i="12"/>
  <c r="D77" i="12"/>
  <c r="D45" i="12"/>
  <c r="D91" i="12"/>
  <c r="D99" i="12"/>
  <c r="D107" i="12"/>
  <c r="J41" i="12"/>
  <c r="K40" i="12"/>
  <c r="D41" i="11"/>
  <c r="K37" i="12"/>
  <c r="J38" i="12"/>
  <c r="K38" i="12" s="1"/>
  <c r="D32" i="12"/>
  <c r="D59" i="12"/>
  <c r="D79" i="12"/>
  <c r="D38" i="12"/>
  <c r="D46" i="12"/>
  <c r="D84" i="12"/>
  <c r="D92" i="12"/>
  <c r="D100" i="12"/>
  <c r="D108" i="12"/>
  <c r="D116" i="12"/>
  <c r="D52" i="10"/>
  <c r="D33" i="10"/>
  <c r="D47" i="10"/>
  <c r="J49" i="12"/>
  <c r="J45" i="12"/>
  <c r="K44" i="12"/>
  <c r="D62" i="11"/>
  <c r="D56" i="11"/>
  <c r="D50" i="11"/>
  <c r="D65" i="11"/>
  <c r="D28" i="11"/>
  <c r="D45" i="11"/>
  <c r="D74" i="12"/>
  <c r="D41" i="12"/>
  <c r="D43" i="12"/>
  <c r="D30" i="12"/>
  <c r="D34" i="12"/>
  <c r="D63" i="12"/>
  <c r="D71" i="12"/>
  <c r="D44" i="12"/>
  <c r="D62" i="12"/>
  <c r="D36" i="12"/>
  <c r="D50" i="12"/>
  <c r="D48" i="12"/>
  <c r="D86" i="12"/>
  <c r="D90" i="12"/>
  <c r="D94" i="12"/>
  <c r="D98" i="12"/>
  <c r="D102" i="12"/>
  <c r="D106" i="12"/>
  <c r="D110" i="12"/>
  <c r="D114" i="12"/>
  <c r="D118" i="12"/>
  <c r="D58" i="10"/>
  <c r="D49" i="10"/>
  <c r="D36" i="10"/>
  <c r="D29" i="10"/>
  <c r="D45" i="10"/>
  <c r="D62" i="10"/>
  <c r="D44" i="10"/>
  <c r="D51" i="10"/>
  <c r="D59" i="10"/>
  <c r="D54" i="11"/>
  <c r="D40" i="11"/>
  <c r="D76" i="11"/>
  <c r="D30" i="11"/>
  <c r="D29" i="11"/>
  <c r="D30" i="10"/>
  <c r="D43" i="10"/>
  <c r="D68" i="11"/>
  <c r="D27" i="11"/>
  <c r="D27" i="10"/>
  <c r="D60" i="11"/>
  <c r="D80" i="11"/>
  <c r="D71" i="11"/>
  <c r="D111" i="12"/>
  <c r="D115" i="12"/>
  <c r="D56" i="10"/>
  <c r="D42" i="10"/>
  <c r="D26" i="10"/>
  <c r="D46" i="10"/>
  <c r="D38" i="10"/>
  <c r="D53" i="11"/>
  <c r="D36" i="11"/>
  <c r="D72" i="11"/>
  <c r="D44" i="11"/>
  <c r="D52" i="11"/>
  <c r="D37" i="11"/>
  <c r="D31" i="10"/>
  <c r="D24" i="10"/>
  <c r="D32" i="11"/>
  <c r="D35" i="10"/>
  <c r="D39" i="11"/>
  <c r="D26" i="11"/>
  <c r="D34" i="11"/>
  <c r="D32" i="10"/>
  <c r="D53" i="10"/>
  <c r="D57" i="10"/>
  <c r="D42" i="12"/>
  <c r="D34" i="10"/>
  <c r="D54" i="10"/>
  <c r="D69" i="11"/>
  <c r="D49" i="11"/>
  <c r="D66" i="11"/>
  <c r="D38" i="11"/>
  <c r="D63" i="11"/>
  <c r="D79" i="11"/>
  <c r="D56" i="12"/>
  <c r="D75" i="12"/>
  <c r="D52" i="12"/>
  <c r="D72" i="12"/>
  <c r="D69" i="12"/>
  <c r="D49" i="12"/>
  <c r="D87" i="12"/>
  <c r="D95" i="12"/>
  <c r="D103" i="12"/>
  <c r="D77" i="11"/>
  <c r="D58" i="11"/>
  <c r="D46" i="11"/>
  <c r="D48" i="11"/>
  <c r="D53" i="12"/>
  <c r="D67" i="12"/>
  <c r="D70" i="12"/>
  <c r="D54" i="12"/>
  <c r="D88" i="12"/>
  <c r="D96" i="12"/>
  <c r="D104" i="12"/>
  <c r="D112" i="12"/>
  <c r="D60" i="10"/>
  <c r="D48" i="10"/>
  <c r="D55" i="10"/>
  <c r="D63" i="10"/>
  <c r="D47" i="11"/>
  <c r="D33" i="11"/>
  <c r="D74" i="11"/>
  <c r="D57" i="11"/>
  <c r="D64" i="11"/>
  <c r="D35" i="11"/>
  <c r="D51" i="11"/>
  <c r="D59" i="11"/>
  <c r="D67" i="11"/>
  <c r="D75" i="11"/>
  <c r="J33" i="12"/>
  <c r="K33" i="12" s="1"/>
  <c r="K32" i="12"/>
  <c r="D40" i="12"/>
  <c r="D78" i="12"/>
  <c r="D33" i="12"/>
  <c r="D51" i="12"/>
  <c r="D60" i="12"/>
  <c r="D68" i="12"/>
  <c r="D83" i="12"/>
  <c r="D58" i="12"/>
  <c r="D35" i="12"/>
  <c r="D39" i="12"/>
  <c r="D55" i="12"/>
  <c r="D76" i="12"/>
  <c r="D57" i="12"/>
  <c r="D65" i="12"/>
  <c r="D73" i="12"/>
  <c r="D81" i="12"/>
  <c r="D47" i="12"/>
  <c r="D85" i="12"/>
  <c r="D89" i="12"/>
  <c r="D93" i="12"/>
  <c r="D97" i="12"/>
  <c r="D101" i="12"/>
  <c r="D105" i="12"/>
  <c r="D109" i="12"/>
  <c r="D113" i="12"/>
  <c r="D117" i="12"/>
  <c r="D61" i="10"/>
  <c r="D41" i="10"/>
  <c r="D42" i="11"/>
  <c r="D78" i="11"/>
  <c r="D61" i="11"/>
  <c r="D43" i="11"/>
  <c r="D73" i="11"/>
  <c r="D40" i="10"/>
  <c r="D70" i="11"/>
  <c r="D25" i="10"/>
  <c r="D39" i="10"/>
  <c r="D64" i="10"/>
  <c r="D37" i="10"/>
  <c r="D50" i="10"/>
  <c r="D28" i="10"/>
  <c r="K49" i="12" l="1"/>
  <c r="J54" i="12"/>
  <c r="J50" i="12"/>
  <c r="J42" i="12"/>
  <c r="K41" i="12"/>
  <c r="K45" i="12"/>
  <c r="J46" i="12"/>
  <c r="K75" i="29" l="1"/>
  <c r="J77" i="29"/>
  <c r="K77" i="29" s="1"/>
  <c r="J51" i="12"/>
  <c r="K50" i="12"/>
  <c r="J59" i="12"/>
  <c r="J55" i="12"/>
  <c r="K54" i="12"/>
  <c r="K46" i="12"/>
  <c r="J47" i="12"/>
  <c r="J43" i="12"/>
  <c r="K43" i="12" s="1"/>
  <c r="K42" i="12"/>
  <c r="J64" i="12" l="1"/>
  <c r="J60" i="12"/>
  <c r="K59" i="12"/>
  <c r="K47" i="12"/>
  <c r="J48" i="12"/>
  <c r="K48" i="12" s="1"/>
  <c r="J56" i="12"/>
  <c r="K55" i="12"/>
  <c r="J52" i="12"/>
  <c r="K51" i="12"/>
  <c r="J57" i="12" l="1"/>
  <c r="K56" i="12"/>
  <c r="J61" i="12"/>
  <c r="K60" i="12"/>
  <c r="J53" i="12"/>
  <c r="K53" i="12" s="1"/>
  <c r="K52" i="12"/>
  <c r="J69" i="12"/>
  <c r="J65" i="12"/>
  <c r="K64" i="12"/>
  <c r="J66" i="12" l="1"/>
  <c r="K65" i="12"/>
  <c r="J74" i="12"/>
  <c r="J70" i="12"/>
  <c r="K69" i="12"/>
  <c r="J62" i="12"/>
  <c r="K61" i="12"/>
  <c r="J58" i="12"/>
  <c r="K58" i="12" s="1"/>
  <c r="K57" i="12"/>
  <c r="J71" i="12" l="1"/>
  <c r="K70" i="12"/>
  <c r="J79" i="12"/>
  <c r="J75" i="12"/>
  <c r="K74" i="12"/>
  <c r="J63" i="12"/>
  <c r="K63" i="12" s="1"/>
  <c r="K62" i="12"/>
  <c r="J67" i="12"/>
  <c r="K66" i="12"/>
  <c r="J68" i="12" l="1"/>
  <c r="K68" i="12" s="1"/>
  <c r="K67" i="12"/>
  <c r="K75" i="12"/>
  <c r="J76" i="12"/>
  <c r="J84" i="12"/>
  <c r="K79" i="12"/>
  <c r="J80" i="12"/>
  <c r="K71" i="12"/>
  <c r="J72" i="12"/>
  <c r="J77" i="12" l="1"/>
  <c r="K76" i="12"/>
  <c r="J81" i="12"/>
  <c r="K80" i="12"/>
  <c r="J73" i="12"/>
  <c r="K73" i="12" s="1"/>
  <c r="K72" i="12"/>
  <c r="K84" i="12"/>
  <c r="J89" i="12"/>
  <c r="J85" i="12"/>
  <c r="K89" i="12" l="1"/>
  <c r="J94" i="12"/>
  <c r="J90" i="12"/>
  <c r="J82" i="12"/>
  <c r="K81" i="12"/>
  <c r="K85" i="12"/>
  <c r="J86" i="12"/>
  <c r="J78" i="12"/>
  <c r="K78" i="12" s="1"/>
  <c r="K77" i="12"/>
  <c r="J83" i="12" l="1"/>
  <c r="K83" i="12" s="1"/>
  <c r="K82" i="12"/>
  <c r="K86" i="12"/>
  <c r="J87" i="12"/>
  <c r="K90" i="12"/>
  <c r="J91" i="12"/>
  <c r="K94" i="12"/>
  <c r="J99" i="12"/>
  <c r="J95" i="12"/>
  <c r="J104" i="12" l="1"/>
  <c r="J100" i="12"/>
  <c r="K99" i="12"/>
  <c r="K87" i="12"/>
  <c r="J88" i="12"/>
  <c r="K88" i="12" s="1"/>
  <c r="K91" i="12"/>
  <c r="J92" i="12"/>
  <c r="K95" i="12"/>
  <c r="J96" i="12"/>
  <c r="K92" i="12" l="1"/>
  <c r="J93" i="12"/>
  <c r="K93" i="12" s="1"/>
  <c r="J101" i="12"/>
  <c r="K100" i="12"/>
  <c r="K96" i="12"/>
  <c r="J97" i="12"/>
  <c r="J109" i="12"/>
  <c r="J105" i="12"/>
  <c r="K104" i="12"/>
  <c r="J106" i="12" l="1"/>
  <c r="K105" i="12"/>
  <c r="J114" i="12"/>
  <c r="J110" i="12"/>
  <c r="K109" i="12"/>
  <c r="J102" i="12"/>
  <c r="K101" i="12"/>
  <c r="K97" i="12"/>
  <c r="J98" i="12"/>
  <c r="K98" i="12" s="1"/>
  <c r="J115" i="12" l="1"/>
  <c r="K114" i="12"/>
  <c r="J103" i="12"/>
  <c r="K103" i="12" s="1"/>
  <c r="K102" i="12"/>
  <c r="J111" i="12"/>
  <c r="K110" i="12"/>
  <c r="J107" i="12"/>
  <c r="K106" i="12"/>
  <c r="J108" i="12" l="1"/>
  <c r="K108" i="12" s="1"/>
  <c r="K107" i="12"/>
  <c r="J112" i="12"/>
  <c r="K111" i="12"/>
  <c r="J116" i="12"/>
  <c r="K115" i="12"/>
  <c r="J113" i="12" l="1"/>
  <c r="K113" i="12" s="1"/>
  <c r="K112" i="12"/>
  <c r="J117" i="12"/>
  <c r="K116" i="12"/>
  <c r="J118" i="12" l="1"/>
  <c r="K117" i="12"/>
  <c r="K118" i="12" l="1"/>
  <c r="J120" i="12"/>
  <c r="J122" i="12" l="1"/>
  <c r="K122" i="12" s="1"/>
  <c r="K120" i="12"/>
  <c r="M6" i="28" l="1"/>
  <c r="M5" i="28"/>
  <c r="M7" i="28"/>
  <c r="M4" i="28"/>
  <c r="M10" i="28"/>
  <c r="M9" i="28"/>
  <c r="M8" i="28"/>
  <c r="M3" i="28"/>
  <c r="L17" i="29" l="1"/>
  <c r="L18" i="29"/>
  <c r="L19" i="29"/>
  <c r="L20" i="29"/>
  <c r="L21" i="29"/>
  <c r="L22" i="29"/>
  <c r="L23" i="29"/>
  <c r="L24" i="29"/>
  <c r="L25" i="29"/>
  <c r="L26" i="29"/>
  <c r="S69" i="29"/>
  <c r="S30" i="29"/>
  <c r="S29" i="29"/>
  <c r="S45" i="29"/>
  <c r="R58" i="29"/>
  <c r="R43" i="29"/>
  <c r="R31" i="29"/>
  <c r="S48" i="29"/>
  <c r="S70" i="29"/>
  <c r="R33" i="29"/>
  <c r="S38" i="29"/>
  <c r="S50" i="29"/>
  <c r="S54" i="29"/>
  <c r="R60" i="29"/>
  <c r="S72" i="29"/>
  <c r="S62" i="29"/>
  <c r="S39" i="29"/>
  <c r="R35" i="29"/>
  <c r="S67" i="29"/>
  <c r="S47" i="29"/>
  <c r="S61" i="29"/>
  <c r="R69" i="29"/>
  <c r="R70" i="29"/>
  <c r="R63" i="29"/>
  <c r="R56" i="29"/>
  <c r="R45" i="29"/>
  <c r="S65" i="29"/>
  <c r="R48" i="29"/>
  <c r="S51" i="29"/>
  <c r="R67" i="29"/>
  <c r="S32" i="29"/>
  <c r="S40" i="29"/>
  <c r="R36" i="29"/>
  <c r="S55" i="29"/>
  <c r="S33" i="29"/>
  <c r="R38" i="29"/>
  <c r="S52" i="29"/>
  <c r="R66" i="29"/>
  <c r="R72" i="29"/>
  <c r="S57" i="29"/>
  <c r="S41" i="29"/>
  <c r="R62" i="29"/>
  <c r="S43" i="29"/>
  <c r="S63" i="29"/>
  <c r="R50" i="29"/>
  <c r="S60" i="29"/>
  <c r="R32" i="29"/>
  <c r="R65" i="29"/>
  <c r="R54" i="29"/>
  <c r="S56" i="29"/>
  <c r="R34" i="29"/>
  <c r="S36" i="29"/>
  <c r="R42" i="29"/>
  <c r="S59" i="29"/>
  <c r="R40" i="29"/>
  <c r="R44" i="29"/>
  <c r="S58" i="29"/>
  <c r="R29" i="29"/>
  <c r="S31" i="29"/>
  <c r="R41" i="29"/>
  <c r="R68" i="29"/>
  <c r="R51" i="29"/>
  <c r="R47" i="29"/>
  <c r="S53" i="29"/>
  <c r="R59" i="29"/>
  <c r="R52" i="29"/>
  <c r="R46" i="29"/>
  <c r="S37" i="29"/>
  <c r="R53" i="29"/>
  <c r="S46" i="29"/>
  <c r="S49" i="29"/>
  <c r="S66" i="29"/>
  <c r="S44" i="29"/>
  <c r="S35" i="29"/>
  <c r="R71" i="29"/>
  <c r="R30" i="29"/>
  <c r="R55" i="29"/>
  <c r="R57" i="29"/>
  <c r="R61" i="29"/>
  <c r="R37" i="29"/>
  <c r="S68" i="29"/>
  <c r="S34" i="29"/>
  <c r="S71" i="29"/>
  <c r="S73" i="29"/>
  <c r="S42" i="29"/>
  <c r="R64" i="29"/>
  <c r="R73" i="29"/>
  <c r="R39" i="29"/>
  <c r="R49" i="29"/>
  <c r="S64" i="29"/>
  <c r="G4" i="29" l="1"/>
  <c r="G12" i="29"/>
  <c r="G5" i="29"/>
  <c r="G6" i="29"/>
  <c r="G7" i="29"/>
  <c r="H7" i="29" s="1"/>
  <c r="G8" i="29"/>
  <c r="G9" i="29"/>
  <c r="H9" i="29" s="1"/>
  <c r="G10" i="29"/>
  <c r="H10" i="29" s="1"/>
  <c r="G11" i="29"/>
  <c r="H11" i="29" s="1"/>
  <c r="N23" i="29"/>
  <c r="N18" i="29"/>
  <c r="N26" i="29"/>
  <c r="N21" i="29"/>
  <c r="N24" i="29"/>
  <c r="N25" i="29"/>
  <c r="N19" i="29"/>
  <c r="N22" i="29"/>
  <c r="N20" i="29"/>
  <c r="M18" i="29"/>
  <c r="O18" i="29" s="1"/>
  <c r="M26" i="29"/>
  <c r="O26" i="29" s="1"/>
  <c r="M21" i="29"/>
  <c r="O21" i="29" s="1"/>
  <c r="M24" i="29"/>
  <c r="O24" i="29" s="1"/>
  <c r="M19" i="29"/>
  <c r="M22" i="29"/>
  <c r="M25" i="29"/>
  <c r="M20" i="29"/>
  <c r="O20" i="29" s="1"/>
  <c r="M23" i="29"/>
  <c r="O23" i="29" s="1"/>
  <c r="N17" i="29"/>
  <c r="M17" i="29"/>
  <c r="D3" i="29"/>
  <c r="C3" i="29"/>
  <c r="E3" i="29"/>
  <c r="G3" i="29"/>
  <c r="H3" i="29" s="1"/>
  <c r="D4" i="29"/>
  <c r="C7" i="29"/>
  <c r="E9" i="29"/>
  <c r="D12" i="29"/>
  <c r="E4" i="29"/>
  <c r="H6" i="29"/>
  <c r="D7" i="29"/>
  <c r="C10" i="29"/>
  <c r="E12" i="29"/>
  <c r="C5" i="29"/>
  <c r="E7" i="29"/>
  <c r="D10" i="29"/>
  <c r="H4" i="29"/>
  <c r="D5" i="29"/>
  <c r="C8" i="29"/>
  <c r="E10" i="29"/>
  <c r="H12" i="29"/>
  <c r="E5" i="29"/>
  <c r="D8" i="29"/>
  <c r="C11" i="29"/>
  <c r="C6" i="29"/>
  <c r="E8" i="29"/>
  <c r="D11" i="29"/>
  <c r="H5" i="29"/>
  <c r="E11" i="29"/>
  <c r="D6" i="29"/>
  <c r="C9" i="29"/>
  <c r="C4" i="29"/>
  <c r="E6" i="29"/>
  <c r="H8" i="29"/>
  <c r="D9" i="29"/>
  <c r="C12" i="29"/>
  <c r="I8" i="29" l="1"/>
  <c r="K8" i="29"/>
  <c r="K6" i="29"/>
  <c r="K4" i="29"/>
  <c r="K11" i="29"/>
  <c r="K9" i="29"/>
  <c r="K12" i="29"/>
  <c r="K5" i="29"/>
  <c r="K7" i="29"/>
  <c r="K10" i="29"/>
  <c r="K3" i="29"/>
  <c r="I4" i="29"/>
  <c r="I6" i="29"/>
  <c r="I11" i="29"/>
  <c r="I7" i="29"/>
  <c r="I9" i="29"/>
  <c r="I5" i="29"/>
  <c r="I10" i="29"/>
  <c r="I12" i="29"/>
  <c r="I3" i="29"/>
  <c r="O22" i="29"/>
  <c r="O25" i="29"/>
  <c r="O19" i="29"/>
  <c r="O17" i="29"/>
  <c r="F3" i="29"/>
  <c r="F4" i="29"/>
  <c r="F5" i="29"/>
  <c r="F7" i="29"/>
  <c r="F6" i="29"/>
  <c r="F9" i="29"/>
  <c r="F12" i="29"/>
  <c r="F8" i="29"/>
  <c r="F11" i="29"/>
  <c r="F10" i="29"/>
  <c r="J5" i="29" l="1"/>
  <c r="L5" i="29" s="1"/>
  <c r="J10" i="29"/>
  <c r="L10" i="29" s="1"/>
  <c r="J11" i="29"/>
  <c r="L11" i="29" s="1"/>
  <c r="J8" i="29"/>
  <c r="L8" i="29" s="1"/>
  <c r="J12" i="29"/>
  <c r="L12" i="29" s="1"/>
  <c r="J9" i="29"/>
  <c r="L9" i="29" s="1"/>
  <c r="J6" i="29"/>
  <c r="L6" i="29" s="1"/>
  <c r="J7" i="29"/>
  <c r="L7" i="29" s="1"/>
  <c r="J4" i="29"/>
  <c r="L4" i="29" s="1"/>
  <c r="J3" i="29"/>
  <c r="L3" i="29" s="1"/>
  <c r="M11" i="29" l="1"/>
  <c r="M5" i="29"/>
  <c r="M12" i="29"/>
  <c r="M6" i="29"/>
  <c r="M8" i="29"/>
  <c r="M3" i="29"/>
  <c r="M10" i="29"/>
  <c r="M9" i="29"/>
  <c r="M4" i="29"/>
  <c r="M7" i="29"/>
  <c r="R17" i="29" l="1"/>
  <c r="R18" i="29"/>
  <c r="W18" i="29" s="1"/>
  <c r="R19" i="29"/>
  <c r="W19" i="29" s="1"/>
  <c r="R20" i="29"/>
  <c r="W20" i="29" s="1"/>
  <c r="R21" i="29"/>
  <c r="W21" i="29" s="1"/>
  <c r="R22" i="29"/>
  <c r="W22" i="29" s="1"/>
  <c r="R23" i="29"/>
  <c r="W23" i="29" s="1"/>
  <c r="R26" i="29"/>
  <c r="W26" i="29" s="1"/>
  <c r="R24" i="29"/>
  <c r="W24" i="29" s="1"/>
  <c r="R25" i="29"/>
  <c r="W25" i="29" s="1"/>
  <c r="V17" i="29" l="1"/>
  <c r="W17" i="29"/>
  <c r="U24" i="29"/>
  <c r="V24" i="29"/>
  <c r="U26" i="29"/>
  <c r="V26" i="29"/>
  <c r="U23" i="29"/>
  <c r="V23" i="29"/>
  <c r="U22" i="29"/>
  <c r="V22" i="29"/>
  <c r="U21" i="29"/>
  <c r="V21" i="29"/>
  <c r="U20" i="29"/>
  <c r="V20" i="29"/>
  <c r="U19" i="29"/>
  <c r="V19" i="29"/>
  <c r="U25" i="29"/>
  <c r="V25" i="29"/>
  <c r="U18" i="29"/>
  <c r="V18" i="29"/>
  <c r="T17" i="29"/>
  <c r="U17" i="29"/>
  <c r="Z24" i="29"/>
  <c r="T24" i="29"/>
  <c r="Z23" i="29"/>
  <c r="T23" i="29"/>
  <c r="Z22" i="29"/>
  <c r="T22" i="29"/>
  <c r="Z21" i="29"/>
  <c r="T21" i="29"/>
  <c r="Z20" i="29"/>
  <c r="T20" i="29"/>
  <c r="Z26" i="29"/>
  <c r="T26" i="29"/>
  <c r="Z19" i="29"/>
  <c r="T19" i="29"/>
  <c r="Z25" i="29"/>
  <c r="T25" i="29"/>
  <c r="Z18" i="29"/>
  <c r="T18" i="29"/>
  <c r="Y17" i="29"/>
  <c r="Z17" i="29"/>
  <c r="X20" i="29"/>
  <c r="Y20" i="29"/>
  <c r="X24" i="29"/>
  <c r="Y24" i="29"/>
  <c r="X22" i="29"/>
  <c r="Y22" i="29"/>
  <c r="X26" i="29"/>
  <c r="Y26" i="29"/>
  <c r="X21" i="29"/>
  <c r="Y21" i="29"/>
  <c r="X25" i="29"/>
  <c r="Y25" i="29"/>
  <c r="X18" i="29"/>
  <c r="Y18" i="29"/>
  <c r="X23" i="29"/>
  <c r="Y23" i="29"/>
  <c r="X19" i="29"/>
  <c r="Y19" i="29"/>
  <c r="X17" i="29"/>
  <c r="P15" i="28" l="1"/>
  <c r="R15" i="28" s="1"/>
  <c r="P16" i="28"/>
  <c r="R16" i="28" s="1"/>
  <c r="P17" i="28"/>
  <c r="R17" i="28" s="1"/>
  <c r="P18" i="28"/>
  <c r="R18" i="28" s="1"/>
  <c r="P19" i="28"/>
  <c r="R19" i="28" s="1"/>
  <c r="P20" i="28"/>
  <c r="R20" i="28" s="1"/>
  <c r="P21" i="28"/>
  <c r="R21" i="28" s="1"/>
  <c r="P22" i="28"/>
  <c r="R22" i="28" s="1"/>
  <c r="W20" i="28" l="1"/>
  <c r="U20" i="28"/>
  <c r="V22" i="28"/>
  <c r="T20" i="28"/>
  <c r="X22" i="28"/>
  <c r="U22" i="28"/>
  <c r="T22" i="28"/>
  <c r="S22" i="28"/>
  <c r="S20" i="28"/>
  <c r="S18" i="28"/>
  <c r="V17" i="28"/>
  <c r="V19" i="28"/>
  <c r="T17" i="28"/>
  <c r="U19" i="28"/>
  <c r="T19" i="28"/>
  <c r="W22" i="28"/>
  <c r="V20" i="28"/>
  <c r="S19" i="28"/>
  <c r="T15" i="28"/>
  <c r="S17" i="28"/>
  <c r="W18" i="28"/>
  <c r="U18" i="28"/>
  <c r="U16" i="28"/>
  <c r="X21" i="28"/>
  <c r="X19" i="28"/>
  <c r="T18" i="28"/>
  <c r="S16" i="28"/>
  <c r="W21" i="28"/>
  <c r="V21" i="28"/>
  <c r="X15" i="28"/>
  <c r="U21" i="28"/>
  <c r="X16" i="28"/>
  <c r="W15" i="28"/>
  <c r="T21" i="28"/>
  <c r="X17" i="28"/>
  <c r="W16" i="28"/>
  <c r="V15" i="28"/>
  <c r="S21" i="28"/>
  <c r="X18" i="28"/>
  <c r="W17" i="28"/>
  <c r="V16" i="28"/>
  <c r="U15" i="28"/>
  <c r="X20" i="28"/>
  <c r="W19" i="28"/>
  <c r="V18" i="28"/>
  <c r="U17" i="28"/>
  <c r="T16" i="28"/>
  <c r="S15" i="28"/>
  <c r="Q44" i="11"/>
  <c r="P30" i="11"/>
  <c r="P27" i="11"/>
  <c r="Q58" i="11"/>
  <c r="Q34" i="11"/>
  <c r="Q75" i="11"/>
  <c r="Q64" i="11"/>
  <c r="P54" i="11"/>
  <c r="P72" i="11"/>
  <c r="P49" i="11"/>
  <c r="P28" i="11"/>
  <c r="Q27" i="11"/>
  <c r="P63" i="11"/>
  <c r="Q47" i="11"/>
  <c r="P46" i="11"/>
  <c r="Q52" i="11"/>
  <c r="Q49" i="11"/>
  <c r="P67" i="11"/>
  <c r="P51" i="11"/>
  <c r="P59" i="11"/>
  <c r="Q59" i="11"/>
  <c r="P44" i="11"/>
  <c r="P69" i="11"/>
  <c r="Q35" i="11"/>
  <c r="Q54" i="11"/>
  <c r="P52" i="11"/>
  <c r="P29" i="11"/>
  <c r="Q39" i="11"/>
  <c r="Q68" i="11"/>
  <c r="P75" i="11"/>
  <c r="Q28" i="11"/>
  <c r="P42" i="11"/>
  <c r="Q73" i="11"/>
  <c r="Q79" i="11"/>
  <c r="P45" i="11"/>
  <c r="P40" i="11"/>
  <c r="P62" i="11"/>
  <c r="Q29" i="11"/>
  <c r="P57" i="11"/>
  <c r="P77" i="11"/>
  <c r="P50" i="11"/>
  <c r="P33" i="11"/>
  <c r="P78" i="11"/>
  <c r="Q80" i="11"/>
  <c r="P56" i="11"/>
  <c r="Q78" i="11"/>
  <c r="Q51" i="11"/>
  <c r="Q76" i="11"/>
  <c r="P34" i="11"/>
  <c r="P58" i="11"/>
  <c r="P66" i="11"/>
  <c r="Q26" i="11"/>
  <c r="P73" i="11"/>
  <c r="P80" i="11"/>
  <c r="Q45" i="11"/>
  <c r="Q69" i="11"/>
  <c r="Q36" i="11"/>
  <c r="Q30" i="11"/>
  <c r="P76" i="11"/>
  <c r="P60" i="11"/>
  <c r="Q37" i="11"/>
  <c r="P35" i="11"/>
  <c r="P55" i="11"/>
  <c r="Q55" i="11"/>
  <c r="Q63" i="11"/>
  <c r="Q77" i="11"/>
  <c r="Q43" i="11"/>
  <c r="P68" i="11"/>
  <c r="P47" i="11"/>
  <c r="P61" i="11"/>
  <c r="Q46" i="11"/>
  <c r="P39" i="11"/>
  <c r="Q40" i="11"/>
  <c r="Q48" i="11"/>
  <c r="Q72" i="11"/>
  <c r="P70" i="11"/>
  <c r="Q62" i="11"/>
  <c r="P74" i="11"/>
  <c r="Q74" i="11"/>
  <c r="P65" i="11"/>
  <c r="P71" i="11"/>
  <c r="Q70" i="11"/>
  <c r="Q56" i="11"/>
  <c r="Q61" i="11"/>
  <c r="Q57" i="11"/>
  <c r="Q60" i="11"/>
  <c r="Q66" i="11"/>
  <c r="P64" i="11"/>
  <c r="P48" i="11"/>
  <c r="P31" i="11"/>
  <c r="Q67" i="11"/>
  <c r="Q31" i="11"/>
  <c r="P32" i="11"/>
  <c r="P26" i="11"/>
  <c r="Q32" i="11"/>
  <c r="Q71" i="11"/>
  <c r="Q38" i="11"/>
  <c r="Q25" i="11"/>
  <c r="Q42" i="11"/>
  <c r="Q41" i="11"/>
  <c r="Q50" i="11"/>
  <c r="P43" i="11"/>
  <c r="Q65" i="11"/>
  <c r="P37" i="11"/>
  <c r="P79" i="11"/>
  <c r="Q53" i="11"/>
  <c r="P38" i="11"/>
  <c r="Q33" i="11"/>
  <c r="P41" i="11"/>
  <c r="P36" i="11"/>
  <c r="P53" i="11"/>
  <c r="L17" i="11" l="1"/>
  <c r="L22" i="11"/>
  <c r="L19" i="11"/>
  <c r="L16" i="11"/>
  <c r="L21" i="11"/>
  <c r="L18" i="11"/>
  <c r="L15" i="11"/>
  <c r="L20" i="11"/>
  <c r="K20" i="11"/>
  <c r="K17" i="11"/>
  <c r="K22" i="11"/>
  <c r="K19" i="11"/>
  <c r="K16" i="11"/>
  <c r="K15" i="11"/>
  <c r="K21" i="11"/>
  <c r="K18" i="11"/>
  <c r="C3" i="11"/>
  <c r="E5" i="11"/>
  <c r="G7" i="11"/>
  <c r="H7" i="11" s="1"/>
  <c r="D8" i="11"/>
  <c r="D3" i="11"/>
  <c r="C6" i="11"/>
  <c r="E8" i="11"/>
  <c r="G10" i="11"/>
  <c r="H10" i="11" s="1"/>
  <c r="E3" i="11"/>
  <c r="G5" i="11"/>
  <c r="H5" i="11" s="1"/>
  <c r="D6" i="11"/>
  <c r="C9" i="11"/>
  <c r="C4" i="11"/>
  <c r="E6" i="11"/>
  <c r="G8" i="11"/>
  <c r="H8" i="11" s="1"/>
  <c r="D9" i="11"/>
  <c r="G3" i="11"/>
  <c r="H3" i="11" s="1"/>
  <c r="D4" i="11"/>
  <c r="C7" i="11"/>
  <c r="E9" i="11"/>
  <c r="E4" i="11"/>
  <c r="G6" i="11"/>
  <c r="H6" i="11" s="1"/>
  <c r="D7" i="11"/>
  <c r="C10" i="11"/>
  <c r="C5" i="11"/>
  <c r="E7" i="11"/>
  <c r="G9" i="11"/>
  <c r="H9" i="11" s="1"/>
  <c r="D10" i="11"/>
  <c r="G4" i="11"/>
  <c r="H4" i="11" s="1"/>
  <c r="D5" i="11"/>
  <c r="C8" i="11"/>
  <c r="E10" i="11"/>
  <c r="M16" i="11" l="1"/>
  <c r="M22" i="11"/>
  <c r="M17" i="11"/>
  <c r="M21" i="11"/>
  <c r="M19" i="11"/>
  <c r="M20" i="11"/>
  <c r="M18" i="11"/>
  <c r="M15" i="11"/>
  <c r="I7" i="11"/>
  <c r="I10" i="11"/>
  <c r="F10" i="11"/>
  <c r="K10" i="11"/>
  <c r="F8" i="11"/>
  <c r="K8" i="11"/>
  <c r="I8" i="11"/>
  <c r="I6" i="11"/>
  <c r="K6" i="11"/>
  <c r="F6" i="11"/>
  <c r="I4" i="11"/>
  <c r="K4" i="11"/>
  <c r="F4" i="11"/>
  <c r="I9" i="11"/>
  <c r="K9" i="11"/>
  <c r="F9" i="11"/>
  <c r="K7" i="11"/>
  <c r="F7" i="11"/>
  <c r="I5" i="11"/>
  <c r="F5" i="11"/>
  <c r="K5" i="11"/>
  <c r="I3" i="11"/>
  <c r="K3" i="11"/>
  <c r="F3" i="11"/>
  <c r="J9" i="11" l="1"/>
  <c r="L9" i="11" s="1"/>
  <c r="J5" i="11"/>
  <c r="L5" i="11" s="1"/>
  <c r="J4" i="11"/>
  <c r="L4" i="11" s="1"/>
  <c r="J3" i="11"/>
  <c r="L3" i="11" s="1"/>
  <c r="J7" i="11"/>
  <c r="L7" i="11" s="1"/>
  <c r="J8" i="11"/>
  <c r="L8" i="11" s="1"/>
  <c r="J6" i="11"/>
  <c r="L6" i="11" s="1"/>
  <c r="J10" i="11"/>
  <c r="L10" i="11" s="1"/>
  <c r="M6" i="11" l="1"/>
  <c r="M5" i="11"/>
  <c r="M10" i="11"/>
  <c r="M3" i="11"/>
  <c r="M9" i="11"/>
  <c r="M4" i="11"/>
  <c r="M8" i="11"/>
  <c r="M7" i="11"/>
  <c r="P21" i="11" l="1"/>
  <c r="P16" i="11"/>
  <c r="P18" i="11"/>
  <c r="P20" i="11"/>
  <c r="P15" i="11"/>
  <c r="P22" i="11"/>
  <c r="P17" i="11"/>
  <c r="P19" i="11"/>
  <c r="S19" i="11" l="1"/>
  <c r="T19" i="11"/>
  <c r="J19" i="11"/>
  <c r="U19" i="11"/>
  <c r="V19" i="11"/>
  <c r="W19" i="11"/>
  <c r="X19" i="11"/>
  <c r="R19" i="11"/>
  <c r="T22" i="11"/>
  <c r="V22" i="11"/>
  <c r="X22" i="11"/>
  <c r="W22" i="11"/>
  <c r="U22" i="11"/>
  <c r="R22" i="11"/>
  <c r="S22" i="11"/>
  <c r="T17" i="11"/>
  <c r="U17" i="11"/>
  <c r="V17" i="11"/>
  <c r="W17" i="11"/>
  <c r="X17" i="11"/>
  <c r="R17" i="11"/>
  <c r="S17" i="11"/>
  <c r="J17" i="11"/>
  <c r="J15" i="11"/>
  <c r="U15" i="11"/>
  <c r="V15" i="11"/>
  <c r="W15" i="11"/>
  <c r="X15" i="11"/>
  <c r="R15" i="11"/>
  <c r="S15" i="11"/>
  <c r="T15" i="11"/>
  <c r="T20" i="11"/>
  <c r="U20" i="11"/>
  <c r="J22" i="11"/>
  <c r="V20" i="11"/>
  <c r="W20" i="11"/>
  <c r="X20" i="11"/>
  <c r="R20" i="11"/>
  <c r="S20" i="11"/>
  <c r="V18" i="11"/>
  <c r="W18" i="11"/>
  <c r="X18" i="11"/>
  <c r="R18" i="11"/>
  <c r="S18" i="11"/>
  <c r="J18" i="11"/>
  <c r="T18" i="11"/>
  <c r="U18" i="11"/>
  <c r="X16" i="11"/>
  <c r="R16" i="11"/>
  <c r="S16" i="11"/>
  <c r="J16" i="11"/>
  <c r="T16" i="11"/>
  <c r="U16" i="11"/>
  <c r="V16" i="11"/>
  <c r="W16" i="11"/>
  <c r="X21" i="11"/>
  <c r="S21" i="11"/>
  <c r="T21" i="11"/>
  <c r="U21" i="11"/>
  <c r="V21" i="11"/>
  <c r="W21" i="11"/>
  <c r="R21" i="11"/>
  <c r="R109" i="12"/>
  <c r="S59" i="12"/>
  <c r="S93" i="12"/>
  <c r="S116" i="12"/>
  <c r="R68" i="12"/>
  <c r="S32" i="12"/>
  <c r="S62" i="12"/>
  <c r="R50" i="12"/>
  <c r="R86" i="12"/>
  <c r="S64" i="12"/>
  <c r="R49" i="12"/>
  <c r="S69" i="12"/>
  <c r="S105" i="12"/>
  <c r="R45" i="12"/>
  <c r="R116" i="12"/>
  <c r="R87" i="12"/>
  <c r="R42" i="12"/>
  <c r="R52" i="12"/>
  <c r="S101" i="12"/>
  <c r="R113" i="12"/>
  <c r="S77" i="12"/>
  <c r="S118" i="12"/>
  <c r="R36" i="12"/>
  <c r="S63" i="12"/>
  <c r="R90" i="12"/>
  <c r="S100" i="12"/>
  <c r="S89" i="12"/>
  <c r="S42" i="12"/>
  <c r="S49" i="12"/>
  <c r="S41" i="12"/>
  <c r="S112" i="12"/>
  <c r="S103" i="12"/>
  <c r="S66" i="12"/>
  <c r="S102" i="12"/>
  <c r="S35" i="12"/>
  <c r="S83" i="12"/>
  <c r="R107" i="12"/>
  <c r="S61" i="12"/>
  <c r="R37" i="12"/>
  <c r="R54" i="12"/>
  <c r="R66" i="12"/>
  <c r="S36" i="12"/>
  <c r="S88" i="12"/>
  <c r="R114" i="12"/>
  <c r="R89" i="12"/>
  <c r="R51" i="12"/>
  <c r="S54" i="12"/>
  <c r="S80" i="12"/>
  <c r="S44" i="12"/>
  <c r="S94" i="12"/>
  <c r="S99" i="12"/>
  <c r="S85" i="12"/>
  <c r="R102" i="12"/>
  <c r="R100" i="12"/>
  <c r="S40" i="12"/>
  <c r="R75" i="12"/>
  <c r="S98" i="12"/>
  <c r="S39" i="12"/>
  <c r="R67" i="12"/>
  <c r="S76" i="12"/>
  <c r="R60" i="12"/>
  <c r="R115" i="12"/>
  <c r="R57" i="12"/>
  <c r="R48" i="12"/>
  <c r="R70" i="12"/>
  <c r="R46" i="12"/>
  <c r="S51" i="12"/>
  <c r="R101" i="12"/>
  <c r="S90" i="12"/>
  <c r="S29" i="12"/>
  <c r="R38" i="12"/>
  <c r="R39" i="12"/>
  <c r="S107" i="12"/>
  <c r="R72" i="12"/>
  <c r="S38" i="12"/>
  <c r="R111" i="12"/>
  <c r="R73" i="12"/>
  <c r="R81" i="12"/>
  <c r="R62" i="12"/>
  <c r="R71" i="12"/>
  <c r="R76" i="12"/>
  <c r="S50" i="12"/>
  <c r="R44" i="12"/>
  <c r="R105" i="12"/>
  <c r="S72" i="12"/>
  <c r="S87" i="12"/>
  <c r="S60" i="12"/>
  <c r="S111" i="12"/>
  <c r="R55" i="12"/>
  <c r="S84" i="12"/>
  <c r="S52" i="12"/>
  <c r="S106" i="12"/>
  <c r="R108" i="12"/>
  <c r="R58" i="12"/>
  <c r="S79" i="12"/>
  <c r="R78" i="12"/>
  <c r="S114" i="12"/>
  <c r="S78" i="12"/>
  <c r="R93" i="12"/>
  <c r="R32" i="12"/>
  <c r="R106" i="12"/>
  <c r="R104" i="12"/>
  <c r="R79" i="12"/>
  <c r="R88" i="12"/>
  <c r="R92" i="12"/>
  <c r="S104" i="12"/>
  <c r="R84" i="12"/>
  <c r="S37" i="12"/>
  <c r="S67" i="12"/>
  <c r="R96" i="12"/>
  <c r="R40" i="12"/>
  <c r="S58" i="12"/>
  <c r="S86" i="12"/>
  <c r="S31" i="12"/>
  <c r="S117" i="12"/>
  <c r="S73" i="12"/>
  <c r="R61" i="12"/>
  <c r="R41" i="12"/>
  <c r="S55" i="12"/>
  <c r="R82" i="12"/>
  <c r="S68" i="12"/>
  <c r="R64" i="12"/>
  <c r="R85" i="12"/>
  <c r="R56" i="12"/>
  <c r="R65" i="12"/>
  <c r="S56" i="12"/>
  <c r="R59" i="12"/>
  <c r="S92" i="12"/>
  <c r="S75" i="12"/>
  <c r="R63" i="12"/>
  <c r="S34" i="12"/>
  <c r="R69" i="12"/>
  <c r="R53" i="12"/>
  <c r="R99" i="12"/>
  <c r="R74" i="12"/>
  <c r="S115" i="12"/>
  <c r="S57" i="12"/>
  <c r="S97" i="12"/>
  <c r="R33" i="12"/>
  <c r="R112" i="12"/>
  <c r="R80" i="12"/>
  <c r="R83" i="12"/>
  <c r="R47" i="12"/>
  <c r="S82" i="12"/>
  <c r="R35" i="12"/>
  <c r="R91" i="12"/>
  <c r="R110" i="12"/>
  <c r="R31" i="12"/>
  <c r="S65" i="12"/>
  <c r="S71" i="12"/>
  <c r="S43" i="12"/>
  <c r="R97" i="12"/>
  <c r="R118" i="12"/>
  <c r="R117" i="12"/>
  <c r="R95" i="12"/>
  <c r="R103" i="12"/>
  <c r="S45" i="12"/>
  <c r="S96" i="12"/>
  <c r="R29" i="12"/>
  <c r="R43" i="12"/>
  <c r="R77" i="12"/>
  <c r="S47" i="12"/>
  <c r="S53" i="12"/>
  <c r="S81" i="12"/>
  <c r="S48" i="12"/>
  <c r="S74" i="12"/>
  <c r="S91" i="12"/>
  <c r="R98" i="12"/>
  <c r="R34" i="12"/>
  <c r="S70" i="12"/>
  <c r="R30" i="12"/>
  <c r="S113" i="12"/>
  <c r="S109" i="12"/>
  <c r="S33" i="12"/>
  <c r="R94" i="12"/>
  <c r="S95" i="12"/>
  <c r="S108" i="12"/>
  <c r="S30" i="12"/>
  <c r="S46" i="12"/>
  <c r="S110" i="12"/>
  <c r="G4" i="12" l="1"/>
  <c r="G12" i="12"/>
  <c r="G5" i="12"/>
  <c r="G6" i="12"/>
  <c r="G7" i="12"/>
  <c r="G8" i="12"/>
  <c r="H8" i="12" s="1"/>
  <c r="G9" i="12"/>
  <c r="G10" i="12"/>
  <c r="H10" i="12" s="1"/>
  <c r="G11" i="12"/>
  <c r="M24" i="12"/>
  <c r="M17" i="12"/>
  <c r="M21" i="12"/>
  <c r="M22" i="12"/>
  <c r="M26" i="12"/>
  <c r="M18" i="12"/>
  <c r="M23" i="12"/>
  <c r="M25" i="12"/>
  <c r="M20" i="12"/>
  <c r="M19" i="12"/>
  <c r="N21" i="12"/>
  <c r="N26" i="12"/>
  <c r="N18" i="12"/>
  <c r="N23" i="12"/>
  <c r="N19" i="12"/>
  <c r="N20" i="12"/>
  <c r="N25" i="12"/>
  <c r="N17" i="12"/>
  <c r="N24" i="12"/>
  <c r="N22" i="12"/>
  <c r="C3" i="12"/>
  <c r="E5" i="12"/>
  <c r="H7" i="12"/>
  <c r="D8" i="12"/>
  <c r="C11" i="12"/>
  <c r="D3" i="12"/>
  <c r="C6" i="12"/>
  <c r="E8" i="12"/>
  <c r="D11" i="12"/>
  <c r="E3" i="12"/>
  <c r="H5" i="12"/>
  <c r="D6" i="12"/>
  <c r="C9" i="12"/>
  <c r="E11" i="12"/>
  <c r="C4" i="12"/>
  <c r="E6" i="12"/>
  <c r="D9" i="12"/>
  <c r="C12" i="12"/>
  <c r="D12" i="12"/>
  <c r="G3" i="12"/>
  <c r="H3" i="12" s="1"/>
  <c r="D4" i="12"/>
  <c r="C7" i="12"/>
  <c r="E9" i="12"/>
  <c r="H11" i="12"/>
  <c r="E4" i="12"/>
  <c r="H6" i="12"/>
  <c r="D7" i="12"/>
  <c r="C10" i="12"/>
  <c r="E12" i="12"/>
  <c r="C5" i="12"/>
  <c r="E7" i="12"/>
  <c r="H9" i="12"/>
  <c r="D10" i="12"/>
  <c r="H4" i="12"/>
  <c r="D5" i="12"/>
  <c r="C8" i="12"/>
  <c r="E10" i="12"/>
  <c r="H12" i="12"/>
  <c r="I10" i="12" l="1"/>
  <c r="K5" i="12"/>
  <c r="K10" i="12"/>
  <c r="I4" i="12"/>
  <c r="I3" i="12"/>
  <c r="I5" i="12"/>
  <c r="I7" i="12"/>
  <c r="I9" i="12"/>
  <c r="I6" i="12"/>
  <c r="K3" i="12"/>
  <c r="K7" i="12"/>
  <c r="K4" i="12"/>
  <c r="I8" i="12"/>
  <c r="I12" i="12"/>
  <c r="I11" i="12"/>
  <c r="K6" i="12"/>
  <c r="K9" i="12"/>
  <c r="K8" i="12"/>
  <c r="K11" i="12"/>
  <c r="K12" i="12"/>
  <c r="O20" i="12"/>
  <c r="O23" i="12"/>
  <c r="O25" i="12"/>
  <c r="O18" i="12"/>
  <c r="O26" i="12"/>
  <c r="O22" i="12"/>
  <c r="O21" i="12"/>
  <c r="O19" i="12"/>
  <c r="O17" i="12"/>
  <c r="O24" i="12"/>
  <c r="F5" i="12"/>
  <c r="F7" i="12"/>
  <c r="F4" i="12"/>
  <c r="F6" i="12"/>
  <c r="F9" i="12"/>
  <c r="F11" i="12"/>
  <c r="F12" i="12"/>
  <c r="F10" i="12"/>
  <c r="F8" i="12"/>
  <c r="F3" i="12"/>
  <c r="J4" i="12" l="1"/>
  <c r="L4" i="12" s="1"/>
  <c r="J8" i="12"/>
  <c r="L8" i="12" s="1"/>
  <c r="J6" i="12"/>
  <c r="L6" i="12" s="1"/>
  <c r="J9" i="12"/>
  <c r="L9" i="12" s="1"/>
  <c r="J3" i="12"/>
  <c r="L3" i="12" s="1"/>
  <c r="J7" i="12"/>
  <c r="L7" i="12" s="1"/>
  <c r="J5" i="12"/>
  <c r="L5" i="12" s="1"/>
  <c r="J10" i="12"/>
  <c r="L10" i="12" s="1"/>
  <c r="J12" i="12"/>
  <c r="L12" i="12" s="1"/>
  <c r="J11" i="12"/>
  <c r="L11" i="12" s="1"/>
  <c r="M4" i="12" l="1"/>
  <c r="M5" i="12"/>
  <c r="M8" i="12"/>
  <c r="M3" i="12"/>
  <c r="M9" i="12"/>
  <c r="M12" i="12"/>
  <c r="M6" i="12"/>
  <c r="M10" i="12"/>
  <c r="M7" i="12"/>
  <c r="M11" i="12"/>
  <c r="R26" i="12" l="1"/>
  <c r="R23" i="12"/>
  <c r="R20" i="12"/>
  <c r="R17" i="12"/>
  <c r="R25" i="12"/>
  <c r="R22" i="12"/>
  <c r="R19" i="12"/>
  <c r="R24" i="12"/>
  <c r="R21" i="12"/>
  <c r="R18" i="12"/>
  <c r="U24" i="12" l="1"/>
  <c r="L24" i="12"/>
  <c r="X24" i="12"/>
  <c r="Z24" i="12"/>
  <c r="Y24" i="12"/>
  <c r="T24" i="12"/>
  <c r="V24" i="12"/>
  <c r="W24" i="12"/>
  <c r="Y25" i="12"/>
  <c r="Z25" i="12"/>
  <c r="U25" i="12"/>
  <c r="L25" i="12"/>
  <c r="V25" i="12"/>
  <c r="W25" i="12"/>
  <c r="X25" i="12"/>
  <c r="T25" i="12"/>
  <c r="L19" i="12"/>
  <c r="V19" i="12"/>
  <c r="W19" i="12"/>
  <c r="X19" i="12"/>
  <c r="Y19" i="12"/>
  <c r="Z19" i="12"/>
  <c r="T19" i="12"/>
  <c r="U19" i="12"/>
  <c r="T21" i="12"/>
  <c r="V21" i="12"/>
  <c r="W21" i="12"/>
  <c r="X21" i="12"/>
  <c r="Y21" i="12"/>
  <c r="Z21" i="12"/>
  <c r="U21" i="12"/>
  <c r="L21" i="12"/>
  <c r="Z22" i="12"/>
  <c r="T22" i="12"/>
  <c r="U22" i="12"/>
  <c r="Y22" i="12"/>
  <c r="L22" i="12"/>
  <c r="V22" i="12"/>
  <c r="W22" i="12"/>
  <c r="X22" i="12"/>
  <c r="X17" i="12"/>
  <c r="Y17" i="12"/>
  <c r="Z17" i="12"/>
  <c r="T17" i="12"/>
  <c r="U17" i="12"/>
  <c r="L17" i="12"/>
  <c r="V17" i="12"/>
  <c r="W17" i="12"/>
  <c r="Z20" i="12"/>
  <c r="T20" i="12"/>
  <c r="U20" i="12"/>
  <c r="L20" i="12"/>
  <c r="V20" i="12"/>
  <c r="W20" i="12"/>
  <c r="X20" i="12"/>
  <c r="Y20" i="12"/>
  <c r="T18" i="12"/>
  <c r="U18" i="12"/>
  <c r="L18" i="12"/>
  <c r="V18" i="12"/>
  <c r="W18" i="12"/>
  <c r="X18" i="12"/>
  <c r="Y18" i="12"/>
  <c r="Z18" i="12"/>
  <c r="T23" i="12"/>
  <c r="U23" i="12"/>
  <c r="L23" i="12"/>
  <c r="V23" i="12"/>
  <c r="W23" i="12"/>
  <c r="X23" i="12"/>
  <c r="Y23" i="12"/>
  <c r="Z23" i="12"/>
  <c r="W26" i="12"/>
  <c r="U26" i="12"/>
  <c r="X26" i="12"/>
  <c r="L26" i="12"/>
  <c r="V26" i="12"/>
  <c r="Y26" i="12"/>
  <c r="Z26" i="12"/>
  <c r="T26" i="12"/>
  <c r="P13" i="26" l="1"/>
  <c r="X13" i="26" s="1"/>
  <c r="P14" i="26"/>
  <c r="W14" i="26" s="1"/>
  <c r="P15" i="26"/>
  <c r="H15" i="26" s="1"/>
  <c r="P16" i="26"/>
  <c r="P17" i="26"/>
  <c r="P18" i="26"/>
  <c r="Q43" i="21"/>
  <c r="R30" i="42"/>
  <c r="Q60" i="42"/>
  <c r="R56" i="42"/>
  <c r="Q36" i="36"/>
  <c r="Q91" i="36"/>
  <c r="Q34" i="36"/>
  <c r="Q68" i="36"/>
  <c r="Q82" i="36"/>
  <c r="Q64" i="36"/>
  <c r="Q49" i="10"/>
  <c r="R52" i="36"/>
  <c r="P39" i="10"/>
  <c r="R44" i="36"/>
  <c r="Q28" i="21"/>
  <c r="P23" i="10"/>
  <c r="Q39" i="36"/>
  <c r="Q42" i="21"/>
  <c r="R48" i="42"/>
  <c r="R74" i="36"/>
  <c r="P45" i="10"/>
  <c r="Q61" i="36"/>
  <c r="Q35" i="36"/>
  <c r="Q73" i="36"/>
  <c r="Q33" i="36"/>
  <c r="Q27" i="10"/>
  <c r="P36" i="10"/>
  <c r="P27" i="21"/>
  <c r="Q30" i="10"/>
  <c r="R45" i="36"/>
  <c r="Q83" i="36"/>
  <c r="R76" i="36"/>
  <c r="Q96" i="36"/>
  <c r="R43" i="36"/>
  <c r="P23" i="21"/>
  <c r="R37" i="36"/>
  <c r="P53" i="10"/>
  <c r="Q58" i="10"/>
  <c r="Q30" i="21"/>
  <c r="R62" i="42"/>
  <c r="P29" i="10"/>
  <c r="Q47" i="42"/>
  <c r="R79" i="36"/>
  <c r="P26" i="10"/>
  <c r="Q29" i="21"/>
  <c r="P41" i="21"/>
  <c r="R97" i="36"/>
  <c r="Q48" i="10"/>
  <c r="R27" i="36"/>
  <c r="Q60" i="36"/>
  <c r="P37" i="10"/>
  <c r="Q46" i="36"/>
  <c r="Q84" i="36"/>
  <c r="R48" i="36"/>
  <c r="R39" i="42"/>
  <c r="Q23" i="10"/>
  <c r="R33" i="36"/>
  <c r="Q44" i="42"/>
  <c r="Q38" i="42"/>
  <c r="Q39" i="42"/>
  <c r="R92" i="36"/>
  <c r="P55" i="10"/>
  <c r="Q57" i="10"/>
  <c r="R66" i="36"/>
  <c r="P51" i="10"/>
  <c r="R82" i="36"/>
  <c r="R32" i="42"/>
  <c r="Q34" i="21"/>
  <c r="Q42" i="42"/>
  <c r="Q41" i="36"/>
  <c r="Q52" i="42"/>
  <c r="R36" i="36"/>
  <c r="Q28" i="10"/>
  <c r="R50" i="36"/>
  <c r="Q57" i="42"/>
  <c r="R57" i="42"/>
  <c r="P39" i="21"/>
  <c r="Q37" i="21"/>
  <c r="P32" i="10"/>
  <c r="Q62" i="36"/>
  <c r="Q32" i="10"/>
  <c r="P35" i="10"/>
  <c r="Q41" i="10"/>
  <c r="R55" i="36"/>
  <c r="Q63" i="10"/>
  <c r="P58" i="10"/>
  <c r="Q34" i="10"/>
  <c r="Q35" i="10"/>
  <c r="R47" i="42"/>
  <c r="P37" i="21"/>
  <c r="Q72" i="36"/>
  <c r="R46" i="42"/>
  <c r="Q86" i="36"/>
  <c r="Q38" i="21"/>
  <c r="P24" i="21"/>
  <c r="P42" i="10"/>
  <c r="P50" i="10"/>
  <c r="Q62" i="42"/>
  <c r="Q51" i="36"/>
  <c r="Q44" i="10"/>
  <c r="Q55" i="42"/>
  <c r="Q26" i="10"/>
  <c r="P56" i="10"/>
  <c r="R96" i="36"/>
  <c r="P31" i="21"/>
  <c r="Q74" i="36"/>
  <c r="R72" i="36"/>
  <c r="Q34" i="42"/>
  <c r="Q49" i="42"/>
  <c r="P27" i="10"/>
  <c r="R50" i="42"/>
  <c r="Q57" i="36"/>
  <c r="Q48" i="36"/>
  <c r="R39" i="36"/>
  <c r="R78" i="36"/>
  <c r="P40" i="21"/>
  <c r="R41" i="36"/>
  <c r="Q39" i="10"/>
  <c r="Q24" i="10"/>
  <c r="Q29" i="36"/>
  <c r="P29" i="21"/>
  <c r="Q90" i="36"/>
  <c r="Q30" i="42"/>
  <c r="P30" i="21"/>
  <c r="Q69" i="36"/>
  <c r="R98" i="36"/>
  <c r="P32" i="21"/>
  <c r="R29" i="42"/>
  <c r="P33" i="10"/>
  <c r="P57" i="10"/>
  <c r="R53" i="42"/>
  <c r="Q40" i="21"/>
  <c r="Q30" i="36"/>
  <c r="Q36" i="42"/>
  <c r="Q43" i="10"/>
  <c r="Q62" i="10"/>
  <c r="R56" i="36"/>
  <c r="P42" i="21"/>
  <c r="Q85" i="36"/>
  <c r="Q45" i="42"/>
  <c r="P54" i="10"/>
  <c r="Q38" i="36"/>
  <c r="R61" i="36"/>
  <c r="P47" i="10"/>
  <c r="R60" i="42"/>
  <c r="R37" i="42"/>
  <c r="P34" i="21"/>
  <c r="P30" i="10"/>
  <c r="P35" i="21"/>
  <c r="P60" i="10"/>
  <c r="Q50" i="36"/>
  <c r="P31" i="10"/>
  <c r="Q26" i="21"/>
  <c r="P44" i="10"/>
  <c r="R51" i="42"/>
  <c r="Q31" i="10"/>
  <c r="Q47" i="10"/>
  <c r="P28" i="21"/>
  <c r="Q37" i="10"/>
  <c r="Q54" i="36"/>
  <c r="Q33" i="10"/>
  <c r="Q98" i="36"/>
  <c r="R28" i="36"/>
  <c r="Q60" i="10"/>
  <c r="R58" i="36"/>
  <c r="Q52" i="10"/>
  <c r="Q92" i="36"/>
  <c r="R49" i="36"/>
  <c r="Q63" i="36"/>
  <c r="P64" i="10"/>
  <c r="Q48" i="42"/>
  <c r="R34" i="36"/>
  <c r="Q89" i="36"/>
  <c r="Q50" i="42"/>
  <c r="Q33" i="21"/>
  <c r="Q44" i="36"/>
  <c r="Q36" i="21"/>
  <c r="R33" i="42"/>
  <c r="R41" i="42"/>
  <c r="P48" i="10"/>
  <c r="Q36" i="10"/>
  <c r="P43" i="10"/>
  <c r="Q64" i="10"/>
  <c r="Q47" i="36"/>
  <c r="Q58" i="36"/>
  <c r="R28" i="42"/>
  <c r="R40" i="36"/>
  <c r="P33" i="21"/>
  <c r="Q28" i="42"/>
  <c r="R68" i="36"/>
  <c r="R84" i="36"/>
  <c r="Q32" i="21"/>
  <c r="Q53" i="36"/>
  <c r="R46" i="36"/>
  <c r="Q41" i="42"/>
  <c r="P52" i="10"/>
  <c r="Q71" i="36"/>
  <c r="Q93" i="36"/>
  <c r="Q78" i="36"/>
  <c r="R91" i="36"/>
  <c r="R36" i="42"/>
  <c r="Q24" i="21"/>
  <c r="R75" i="36"/>
  <c r="Q88" i="36"/>
  <c r="Q40" i="36"/>
  <c r="Q39" i="21"/>
  <c r="R43" i="42"/>
  <c r="Q32" i="36"/>
  <c r="P38" i="10"/>
  <c r="Q58" i="42"/>
  <c r="Q25" i="21"/>
  <c r="Q43" i="36"/>
  <c r="Q35" i="21"/>
  <c r="Q77" i="36"/>
  <c r="Q81" i="36"/>
  <c r="Q59" i="10"/>
  <c r="Q49" i="36"/>
  <c r="R44" i="42"/>
  <c r="Q37" i="42"/>
  <c r="Q33" i="42"/>
  <c r="Q67" i="36"/>
  <c r="R89" i="36"/>
  <c r="R42" i="42"/>
  <c r="P49" i="10"/>
  <c r="R38" i="42"/>
  <c r="R85" i="36"/>
  <c r="P40" i="10"/>
  <c r="Q53" i="42"/>
  <c r="R35" i="42"/>
  <c r="R38" i="36"/>
  <c r="R35" i="36"/>
  <c r="P26" i="21"/>
  <c r="Q56" i="42"/>
  <c r="R83" i="36"/>
  <c r="P24" i="10"/>
  <c r="Q50" i="10"/>
  <c r="P43" i="21"/>
  <c r="R80" i="36"/>
  <c r="Q55" i="36"/>
  <c r="P38" i="21"/>
  <c r="P25" i="21"/>
  <c r="Q55" i="10"/>
  <c r="Q97" i="36"/>
  <c r="R40" i="42"/>
  <c r="P34" i="10"/>
  <c r="Q46" i="10"/>
  <c r="Q75" i="36"/>
  <c r="Q59" i="36"/>
  <c r="Q27" i="42"/>
  <c r="Q27" i="21"/>
  <c r="R67" i="36"/>
  <c r="Q40" i="10"/>
  <c r="Q42" i="10"/>
  <c r="R53" i="36"/>
  <c r="R62" i="36"/>
  <c r="R86" i="36"/>
  <c r="Q66" i="36"/>
  <c r="Q38" i="10"/>
  <c r="R93" i="36"/>
  <c r="R51" i="36"/>
  <c r="R31" i="42"/>
  <c r="R52" i="42"/>
  <c r="Q56" i="36"/>
  <c r="P28" i="10"/>
  <c r="R64" i="36"/>
  <c r="Q29" i="10"/>
  <c r="R88" i="36"/>
  <c r="P25" i="10"/>
  <c r="P63" i="10"/>
  <c r="Q51" i="10"/>
  <c r="R55" i="42"/>
  <c r="R70" i="36"/>
  <c r="R57" i="36"/>
  <c r="R71" i="36"/>
  <c r="R95" i="36"/>
  <c r="R31" i="36"/>
  <c r="Q87" i="36"/>
  <c r="Q54" i="10"/>
  <c r="Q65" i="36"/>
  <c r="Q76" i="36"/>
  <c r="Q70" i="36"/>
  <c r="R34" i="42"/>
  <c r="R61" i="42"/>
  <c r="R27" i="42"/>
  <c r="Q29" i="42"/>
  <c r="R54" i="42"/>
  <c r="Q56" i="10"/>
  <c r="Q80" i="36"/>
  <c r="R77" i="36"/>
  <c r="R30" i="36"/>
  <c r="Q28" i="36"/>
  <c r="R47" i="36"/>
  <c r="Q61" i="10"/>
  <c r="R69" i="36"/>
  <c r="P41" i="10"/>
  <c r="P36" i="21"/>
  <c r="Q61" i="42"/>
  <c r="Q25" i="10"/>
  <c r="R59" i="36"/>
  <c r="P46" i="10"/>
  <c r="Q94" i="36"/>
  <c r="Q35" i="42"/>
  <c r="R87" i="36"/>
  <c r="Q52" i="36"/>
  <c r="Q31" i="42"/>
  <c r="Q23" i="21"/>
  <c r="R94" i="36"/>
  <c r="P62" i="10"/>
  <c r="R54" i="36"/>
  <c r="Q79" i="36"/>
  <c r="Q59" i="42"/>
  <c r="Q45" i="10"/>
  <c r="Q37" i="36"/>
  <c r="P59" i="10"/>
  <c r="R32" i="36"/>
  <c r="R29" i="36"/>
  <c r="R65" i="36"/>
  <c r="P61" i="10"/>
  <c r="Q42" i="36"/>
  <c r="R45" i="42"/>
  <c r="R73" i="36"/>
  <c r="R60" i="36"/>
  <c r="Q43" i="42"/>
  <c r="R90" i="36"/>
  <c r="Q32" i="42"/>
  <c r="R63" i="36"/>
  <c r="Q41" i="21"/>
  <c r="Q31" i="36"/>
  <c r="Q45" i="36"/>
  <c r="Q40" i="42"/>
  <c r="R81" i="36"/>
  <c r="Q46" i="42"/>
  <c r="Q53" i="10"/>
  <c r="R42" i="36"/>
  <c r="Q54" i="42"/>
  <c r="R49" i="42"/>
  <c r="R59" i="42"/>
  <c r="R58" i="42"/>
  <c r="Q51" i="42"/>
  <c r="Q95" i="36"/>
  <c r="Q31" i="21"/>
  <c r="Q27" i="36"/>
  <c r="G5" i="10" l="1"/>
  <c r="G6" i="10"/>
  <c r="G7" i="10"/>
  <c r="G8" i="10"/>
  <c r="G9" i="10"/>
  <c r="G4" i="10"/>
  <c r="H4" i="10" s="1"/>
  <c r="G5" i="21"/>
  <c r="H5" i="21" s="1"/>
  <c r="G6" i="21"/>
  <c r="H6" i="21" s="1"/>
  <c r="G7" i="21"/>
  <c r="G8" i="21"/>
  <c r="G9" i="21"/>
  <c r="G4" i="21"/>
  <c r="M19" i="36"/>
  <c r="M24" i="36"/>
  <c r="M16" i="36"/>
  <c r="M21" i="36"/>
  <c r="M18" i="36"/>
  <c r="M23" i="36"/>
  <c r="M20" i="36"/>
  <c r="M17" i="36"/>
  <c r="M22" i="36"/>
  <c r="L22" i="36"/>
  <c r="L19" i="36"/>
  <c r="L24" i="36"/>
  <c r="L16" i="36"/>
  <c r="L21" i="36"/>
  <c r="L18" i="36"/>
  <c r="L23" i="36"/>
  <c r="L17" i="36"/>
  <c r="L20" i="36"/>
  <c r="L17" i="42"/>
  <c r="L21" i="42"/>
  <c r="L18" i="42"/>
  <c r="L22" i="42"/>
  <c r="L19" i="42"/>
  <c r="L23" i="42"/>
  <c r="L20" i="42"/>
  <c r="L24" i="42"/>
  <c r="M17" i="42"/>
  <c r="M21" i="42"/>
  <c r="M22" i="42"/>
  <c r="M18" i="42"/>
  <c r="M19" i="42"/>
  <c r="M23" i="42"/>
  <c r="M20" i="42"/>
  <c r="M24" i="42"/>
  <c r="M16" i="42"/>
  <c r="L16" i="42"/>
  <c r="K15" i="10"/>
  <c r="K20" i="10"/>
  <c r="K17" i="10"/>
  <c r="K14" i="10"/>
  <c r="K19" i="10"/>
  <c r="K16" i="10"/>
  <c r="K18" i="10"/>
  <c r="J18" i="10"/>
  <c r="J15" i="10"/>
  <c r="J20" i="10"/>
  <c r="L20" i="10" s="1"/>
  <c r="J17" i="10"/>
  <c r="J14" i="10"/>
  <c r="J19" i="10"/>
  <c r="L19" i="10" s="1"/>
  <c r="J16" i="10"/>
  <c r="K15" i="21"/>
  <c r="K17" i="21"/>
  <c r="K18" i="21"/>
  <c r="K19" i="21"/>
  <c r="K20" i="21"/>
  <c r="K16" i="21"/>
  <c r="K14" i="21"/>
  <c r="J16" i="21"/>
  <c r="J17" i="21"/>
  <c r="J18" i="21"/>
  <c r="J19" i="21"/>
  <c r="J20" i="21"/>
  <c r="J15" i="21"/>
  <c r="J14" i="21"/>
  <c r="C8" i="10"/>
  <c r="D9" i="10"/>
  <c r="C4" i="10"/>
  <c r="C7" i="10"/>
  <c r="C5" i="10"/>
  <c r="D5" i="10"/>
  <c r="G3" i="10"/>
  <c r="H3" i="10" s="1"/>
  <c r="E6" i="10"/>
  <c r="E3" i="10"/>
  <c r="D4" i="10"/>
  <c r="D3" i="10"/>
  <c r="E9" i="10"/>
  <c r="C3" i="10"/>
  <c r="C9" i="10"/>
  <c r="H7" i="10"/>
  <c r="D7" i="10"/>
  <c r="H8" i="10"/>
  <c r="H6" i="10"/>
  <c r="E4" i="10"/>
  <c r="E8" i="10"/>
  <c r="C6" i="10"/>
  <c r="H5" i="10"/>
  <c r="E5" i="10"/>
  <c r="D8" i="10"/>
  <c r="H9" i="10"/>
  <c r="E7" i="10"/>
  <c r="D6" i="10"/>
  <c r="E3" i="42"/>
  <c r="E6" i="42"/>
  <c r="C10" i="42"/>
  <c r="E11" i="42"/>
  <c r="D10" i="42"/>
  <c r="D9" i="42"/>
  <c r="E7" i="42"/>
  <c r="D6" i="42"/>
  <c r="C5" i="42"/>
  <c r="C7" i="42"/>
  <c r="E5" i="42"/>
  <c r="G6" i="42"/>
  <c r="H6" i="42" s="1"/>
  <c r="C8" i="42"/>
  <c r="G3" i="42"/>
  <c r="H3" i="42" s="1"/>
  <c r="E9" i="42"/>
  <c r="D8" i="42"/>
  <c r="C9" i="42"/>
  <c r="D5" i="42"/>
  <c r="D11" i="42"/>
  <c r="G10" i="42"/>
  <c r="H10" i="42" s="1"/>
  <c r="C3" i="42"/>
  <c r="C11" i="42"/>
  <c r="C6" i="42"/>
  <c r="G4" i="42"/>
  <c r="H4" i="42" s="1"/>
  <c r="E8" i="42"/>
  <c r="D3" i="42"/>
  <c r="G11" i="42"/>
  <c r="H11" i="42" s="1"/>
  <c r="E4" i="42"/>
  <c r="G5" i="42"/>
  <c r="H5" i="42" s="1"/>
  <c r="E10" i="42"/>
  <c r="C4" i="42"/>
  <c r="G8" i="42"/>
  <c r="H8" i="42" s="1"/>
  <c r="G9" i="42"/>
  <c r="H9" i="42" s="1"/>
  <c r="D4" i="42"/>
  <c r="D7" i="42"/>
  <c r="G7" i="42"/>
  <c r="H7" i="42" s="1"/>
  <c r="C6" i="36"/>
  <c r="C11" i="36"/>
  <c r="C10" i="36"/>
  <c r="E3" i="36"/>
  <c r="D6" i="36"/>
  <c r="G3" i="36"/>
  <c r="H3" i="36" s="1"/>
  <c r="D4" i="36"/>
  <c r="D11" i="36"/>
  <c r="D9" i="36"/>
  <c r="C7" i="36"/>
  <c r="E6" i="36"/>
  <c r="E10" i="36"/>
  <c r="C3" i="36"/>
  <c r="E4" i="36"/>
  <c r="E8" i="36"/>
  <c r="G4" i="36"/>
  <c r="H4" i="36" s="1"/>
  <c r="C4" i="36"/>
  <c r="G8" i="36"/>
  <c r="H8" i="36" s="1"/>
  <c r="D7" i="36"/>
  <c r="G11" i="36"/>
  <c r="H11" i="36" s="1"/>
  <c r="G7" i="36"/>
  <c r="H7" i="36" s="1"/>
  <c r="D8" i="36"/>
  <c r="D10" i="36"/>
  <c r="E7" i="36"/>
  <c r="C5" i="36"/>
  <c r="G10" i="36"/>
  <c r="H10" i="36" s="1"/>
  <c r="D5" i="36"/>
  <c r="E11" i="36"/>
  <c r="D3" i="36"/>
  <c r="C9" i="36"/>
  <c r="C8" i="36"/>
  <c r="G9" i="36"/>
  <c r="H9" i="36" s="1"/>
  <c r="E9" i="36"/>
  <c r="G6" i="36"/>
  <c r="H6" i="36" s="1"/>
  <c r="G5" i="36"/>
  <c r="H5" i="36" s="1"/>
  <c r="E5" i="36"/>
  <c r="D5" i="21"/>
  <c r="E3" i="21"/>
  <c r="H4" i="21"/>
  <c r="C4" i="21"/>
  <c r="E4" i="21"/>
  <c r="D8" i="21"/>
  <c r="D9" i="21"/>
  <c r="G3" i="21"/>
  <c r="H3" i="21" s="1"/>
  <c r="C7" i="21"/>
  <c r="D7" i="21"/>
  <c r="H7" i="21"/>
  <c r="C9" i="21"/>
  <c r="C8" i="21"/>
  <c r="E8" i="21"/>
  <c r="H8" i="21"/>
  <c r="E6" i="21"/>
  <c r="D4" i="21"/>
  <c r="D6" i="21"/>
  <c r="C6" i="21"/>
  <c r="C5" i="21"/>
  <c r="C3" i="21"/>
  <c r="E5" i="21"/>
  <c r="D3" i="21"/>
  <c r="H9" i="21"/>
  <c r="E9" i="21"/>
  <c r="E7" i="21"/>
  <c r="X14" i="26"/>
  <c r="R16" i="26"/>
  <c r="V16" i="26"/>
  <c r="S16" i="26"/>
  <c r="X18" i="26"/>
  <c r="T16" i="26"/>
  <c r="W16" i="26"/>
  <c r="U16" i="26"/>
  <c r="H16" i="26"/>
  <c r="R15" i="26"/>
  <c r="X16" i="26"/>
  <c r="W17" i="26"/>
  <c r="W13" i="26"/>
  <c r="V17" i="26"/>
  <c r="V13" i="26"/>
  <c r="U17" i="26"/>
  <c r="U13" i="26"/>
  <c r="W18" i="26"/>
  <c r="X15" i="26"/>
  <c r="V14" i="26"/>
  <c r="T13" i="26"/>
  <c r="U18" i="26"/>
  <c r="S17" i="26"/>
  <c r="H17" i="26"/>
  <c r="W15" i="26"/>
  <c r="U14" i="26"/>
  <c r="S13" i="26"/>
  <c r="H13" i="26"/>
  <c r="T18" i="26"/>
  <c r="R17" i="26"/>
  <c r="V15" i="26"/>
  <c r="T14" i="26"/>
  <c r="R13" i="26"/>
  <c r="S18" i="26"/>
  <c r="H18" i="26"/>
  <c r="U15" i="26"/>
  <c r="S14" i="26"/>
  <c r="H14" i="26"/>
  <c r="R18" i="26"/>
  <c r="X17" i="26"/>
  <c r="T15" i="26"/>
  <c r="R14" i="26"/>
  <c r="S15" i="26"/>
  <c r="V18" i="26"/>
  <c r="T17" i="26"/>
  <c r="L16" i="10" l="1"/>
  <c r="L15" i="10"/>
  <c r="L14" i="10"/>
  <c r="N24" i="36"/>
  <c r="N21" i="36"/>
  <c r="L17" i="10"/>
  <c r="N18" i="36"/>
  <c r="N19" i="36"/>
  <c r="L17" i="21"/>
  <c r="L20" i="21"/>
  <c r="N17" i="36"/>
  <c r="N22" i="42"/>
  <c r="N16" i="36"/>
  <c r="N23" i="36"/>
  <c r="L19" i="21"/>
  <c r="N20" i="36"/>
  <c r="N22" i="36"/>
  <c r="N24" i="42"/>
  <c r="N16" i="42"/>
  <c r="N17" i="42"/>
  <c r="N20" i="42"/>
  <c r="N23" i="42"/>
  <c r="N18" i="42"/>
  <c r="N19" i="42"/>
  <c r="N21" i="42"/>
  <c r="L14" i="21"/>
  <c r="L15" i="21"/>
  <c r="L18" i="21"/>
  <c r="L18" i="10"/>
  <c r="L16" i="21"/>
  <c r="I5" i="21"/>
  <c r="I5" i="36"/>
  <c r="I7" i="10"/>
  <c r="I4" i="42"/>
  <c r="I7" i="21"/>
  <c r="K6" i="21"/>
  <c r="F6" i="21"/>
  <c r="K9" i="21"/>
  <c r="F9" i="21"/>
  <c r="F4" i="21"/>
  <c r="K4" i="21"/>
  <c r="I7" i="36"/>
  <c r="I11" i="42"/>
  <c r="I5" i="10"/>
  <c r="I6" i="10"/>
  <c r="I9" i="21"/>
  <c r="K8" i="36"/>
  <c r="F8" i="36"/>
  <c r="I8" i="36"/>
  <c r="I5" i="42"/>
  <c r="K10" i="42"/>
  <c r="F10" i="42"/>
  <c r="I3" i="21"/>
  <c r="F9" i="36"/>
  <c r="K9" i="36"/>
  <c r="I4" i="36"/>
  <c r="F7" i="42"/>
  <c r="K7" i="42"/>
  <c r="I6" i="42"/>
  <c r="K6" i="10"/>
  <c r="F6" i="10"/>
  <c r="F9" i="10"/>
  <c r="K9" i="10"/>
  <c r="I6" i="21"/>
  <c r="K7" i="21"/>
  <c r="F7" i="21"/>
  <c r="K3" i="36"/>
  <c r="F3" i="36"/>
  <c r="I8" i="42"/>
  <c r="K9" i="42"/>
  <c r="F9" i="42"/>
  <c r="F5" i="42"/>
  <c r="K5" i="42"/>
  <c r="I3" i="42"/>
  <c r="I8" i="10"/>
  <c r="K3" i="10"/>
  <c r="F3" i="10"/>
  <c r="K5" i="10"/>
  <c r="F5" i="10"/>
  <c r="I11" i="36"/>
  <c r="I10" i="36"/>
  <c r="I3" i="36"/>
  <c r="I4" i="10"/>
  <c r="I9" i="10"/>
  <c r="K7" i="10"/>
  <c r="F7" i="10"/>
  <c r="I8" i="21"/>
  <c r="I6" i="36"/>
  <c r="F10" i="36"/>
  <c r="K10" i="36"/>
  <c r="F4" i="42"/>
  <c r="K4" i="42"/>
  <c r="K6" i="42"/>
  <c r="F6" i="42"/>
  <c r="I9" i="42"/>
  <c r="I7" i="42"/>
  <c r="F4" i="10"/>
  <c r="K4" i="10"/>
  <c r="K3" i="21"/>
  <c r="F3" i="21"/>
  <c r="K7" i="36"/>
  <c r="F7" i="36"/>
  <c r="F11" i="36"/>
  <c r="K11" i="36"/>
  <c r="I10" i="42"/>
  <c r="F11" i="42"/>
  <c r="K11" i="42"/>
  <c r="K5" i="21"/>
  <c r="F5" i="21"/>
  <c r="F8" i="21"/>
  <c r="K8" i="21"/>
  <c r="I4" i="21"/>
  <c r="I9" i="36"/>
  <c r="F5" i="36"/>
  <c r="K5" i="36"/>
  <c r="K4" i="36"/>
  <c r="F4" i="36"/>
  <c r="K6" i="36"/>
  <c r="F6" i="36"/>
  <c r="F3" i="42"/>
  <c r="K3" i="42"/>
  <c r="F8" i="42"/>
  <c r="K8" i="42"/>
  <c r="I3" i="10"/>
  <c r="K8" i="10"/>
  <c r="F8" i="10"/>
  <c r="J5" i="36" l="1"/>
  <c r="L5" i="36" s="1"/>
  <c r="J3" i="42"/>
  <c r="L3" i="42" s="1"/>
  <c r="J8" i="10"/>
  <c r="L8" i="10" s="1"/>
  <c r="J3" i="21"/>
  <c r="L3" i="21" s="1"/>
  <c r="J11" i="42"/>
  <c r="L11" i="42" s="1"/>
  <c r="J7" i="21"/>
  <c r="L7" i="21" s="1"/>
  <c r="J8" i="42"/>
  <c r="L8" i="42" s="1"/>
  <c r="J4" i="10"/>
  <c r="L4" i="10" s="1"/>
  <c r="J10" i="36"/>
  <c r="L10" i="36" s="1"/>
  <c r="J7" i="42"/>
  <c r="L7" i="42" s="1"/>
  <c r="J5" i="42"/>
  <c r="L5" i="42" s="1"/>
  <c r="J8" i="36"/>
  <c r="L8" i="36" s="1"/>
  <c r="J4" i="21"/>
  <c r="L4" i="21" s="1"/>
  <c r="J6" i="36"/>
  <c r="L6" i="36" s="1"/>
  <c r="J11" i="36"/>
  <c r="L11" i="36" s="1"/>
  <c r="J5" i="10"/>
  <c r="L5" i="10" s="1"/>
  <c r="J9" i="42"/>
  <c r="L9" i="42" s="1"/>
  <c r="J9" i="21"/>
  <c r="L9" i="21" s="1"/>
  <c r="J8" i="21"/>
  <c r="L8" i="21" s="1"/>
  <c r="J6" i="42"/>
  <c r="L6" i="42" s="1"/>
  <c r="J7" i="10"/>
  <c r="L7" i="10" s="1"/>
  <c r="J9" i="10"/>
  <c r="L9" i="10" s="1"/>
  <c r="J9" i="36"/>
  <c r="L9" i="36" s="1"/>
  <c r="J7" i="36"/>
  <c r="L7" i="36" s="1"/>
  <c r="J4" i="36"/>
  <c r="L4" i="36" s="1"/>
  <c r="J5" i="21"/>
  <c r="L5" i="21" s="1"/>
  <c r="J3" i="10"/>
  <c r="L3" i="10" s="1"/>
  <c r="J6" i="10"/>
  <c r="L6" i="10" s="1"/>
  <c r="J6" i="21"/>
  <c r="L6" i="21" s="1"/>
  <c r="J3" i="36"/>
  <c r="L3" i="36" s="1"/>
  <c r="J10" i="42"/>
  <c r="L10" i="42" s="1"/>
  <c r="J4" i="42"/>
  <c r="L4" i="42" s="1"/>
  <c r="M5" i="21" l="1"/>
  <c r="M10" i="42"/>
  <c r="M8" i="10"/>
  <c r="M4" i="42"/>
  <c r="M5" i="10"/>
  <c r="M3" i="21"/>
  <c r="M4" i="36"/>
  <c r="M7" i="36"/>
  <c r="M9" i="42"/>
  <c r="M7" i="42"/>
  <c r="M9" i="36"/>
  <c r="M3" i="36"/>
  <c r="M9" i="10"/>
  <c r="M11" i="36"/>
  <c r="M4" i="10"/>
  <c r="M7" i="10"/>
  <c r="M6" i="36"/>
  <c r="M8" i="42"/>
  <c r="M10" i="36"/>
  <c r="M6" i="10"/>
  <c r="M6" i="42"/>
  <c r="M3" i="42"/>
  <c r="M6" i="21"/>
  <c r="M3" i="10"/>
  <c r="M8" i="21"/>
  <c r="M4" i="21"/>
  <c r="M7" i="21"/>
  <c r="M8" i="36"/>
  <c r="M11" i="42"/>
  <c r="M9" i="21"/>
  <c r="M5" i="42"/>
  <c r="M5" i="36"/>
  <c r="P17" i="21" l="1"/>
  <c r="W17" i="21" s="1"/>
  <c r="P19" i="21"/>
  <c r="R19" i="21" s="1"/>
  <c r="P14" i="10"/>
  <c r="P18" i="10"/>
  <c r="P15" i="10"/>
  <c r="P17" i="10"/>
  <c r="P16" i="10"/>
  <c r="P20" i="10"/>
  <c r="P19" i="10"/>
  <c r="P20" i="21"/>
  <c r="Q23" i="42"/>
  <c r="Q18" i="42"/>
  <c r="Q22" i="42"/>
  <c r="Q17" i="42"/>
  <c r="Q21" i="42"/>
  <c r="Q24" i="42"/>
  <c r="Q20" i="42"/>
  <c r="Q19" i="42"/>
  <c r="Q16" i="42"/>
  <c r="P15" i="21"/>
  <c r="P16" i="21"/>
  <c r="Q23" i="36"/>
  <c r="Q18" i="36"/>
  <c r="Q19" i="36"/>
  <c r="Q24" i="36"/>
  <c r="Q16" i="36"/>
  <c r="Q17" i="36"/>
  <c r="Q20" i="36"/>
  <c r="Q21" i="36"/>
  <c r="Q22" i="36"/>
  <c r="P14" i="21"/>
  <c r="P18" i="21"/>
  <c r="T19" i="21" l="1"/>
  <c r="X19" i="21"/>
  <c r="U19" i="21"/>
  <c r="S19" i="21"/>
  <c r="V19" i="21"/>
  <c r="W19" i="21"/>
  <c r="V17" i="21"/>
  <c r="I17" i="21"/>
  <c r="U17" i="21"/>
  <c r="T17" i="21"/>
  <c r="X17" i="21"/>
  <c r="R17" i="21"/>
  <c r="S17" i="21"/>
  <c r="I20" i="21"/>
  <c r="V19" i="36"/>
  <c r="U19" i="36"/>
  <c r="X19" i="36"/>
  <c r="W19" i="36"/>
  <c r="K19" i="36"/>
  <c r="S19" i="36"/>
  <c r="T19" i="36"/>
  <c r="Y19" i="36"/>
  <c r="T24" i="42"/>
  <c r="X24" i="42"/>
  <c r="K24" i="42"/>
  <c r="Y24" i="42"/>
  <c r="W24" i="42"/>
  <c r="S24" i="42"/>
  <c r="V24" i="42"/>
  <c r="U24" i="42"/>
  <c r="T20" i="10"/>
  <c r="S20" i="10"/>
  <c r="V20" i="10"/>
  <c r="W20" i="10"/>
  <c r="X20" i="10"/>
  <c r="R20" i="10"/>
  <c r="U20" i="10"/>
  <c r="U24" i="36"/>
  <c r="X24" i="36"/>
  <c r="Y24" i="36"/>
  <c r="K24" i="36"/>
  <c r="W24" i="36"/>
  <c r="V24" i="36"/>
  <c r="T24" i="36"/>
  <c r="S24" i="36"/>
  <c r="W20" i="42"/>
  <c r="S20" i="42"/>
  <c r="T20" i="42"/>
  <c r="Y20" i="42"/>
  <c r="U20" i="42"/>
  <c r="K20" i="42"/>
  <c r="V20" i="42"/>
  <c r="X20" i="42"/>
  <c r="U18" i="21"/>
  <c r="X18" i="21"/>
  <c r="R18" i="21"/>
  <c r="S18" i="21"/>
  <c r="T18" i="21"/>
  <c r="V18" i="21"/>
  <c r="I18" i="21"/>
  <c r="W18" i="21"/>
  <c r="V14" i="21"/>
  <c r="I14" i="21"/>
  <c r="U14" i="21"/>
  <c r="W14" i="21"/>
  <c r="S14" i="21"/>
  <c r="R14" i="21"/>
  <c r="T14" i="21"/>
  <c r="X14" i="21"/>
  <c r="X18" i="36"/>
  <c r="W18" i="36"/>
  <c r="S18" i="36"/>
  <c r="Y18" i="36"/>
  <c r="V18" i="36"/>
  <c r="T18" i="36"/>
  <c r="U18" i="36"/>
  <c r="K18" i="36"/>
  <c r="U21" i="42"/>
  <c r="X21" i="42"/>
  <c r="S21" i="42"/>
  <c r="V21" i="42"/>
  <c r="K21" i="42"/>
  <c r="W21" i="42"/>
  <c r="T21" i="42"/>
  <c r="Y21" i="42"/>
  <c r="I16" i="10"/>
  <c r="X16" i="10"/>
  <c r="U16" i="10"/>
  <c r="V16" i="10"/>
  <c r="S16" i="10"/>
  <c r="R16" i="10"/>
  <c r="T16" i="10"/>
  <c r="W16" i="10"/>
  <c r="V19" i="10"/>
  <c r="T19" i="10"/>
  <c r="I20" i="10"/>
  <c r="W19" i="10"/>
  <c r="S19" i="10"/>
  <c r="R19" i="10"/>
  <c r="X19" i="10"/>
  <c r="U19" i="10"/>
  <c r="S22" i="36"/>
  <c r="X22" i="36"/>
  <c r="U22" i="36"/>
  <c r="V22" i="36"/>
  <c r="K22" i="36"/>
  <c r="Y22" i="36"/>
  <c r="W22" i="36"/>
  <c r="T22" i="36"/>
  <c r="V23" i="36"/>
  <c r="T23" i="36"/>
  <c r="X23" i="36"/>
  <c r="U23" i="36"/>
  <c r="K23" i="36"/>
  <c r="Y23" i="36"/>
  <c r="W23" i="36"/>
  <c r="S23" i="36"/>
  <c r="S17" i="42"/>
  <c r="Y17" i="42"/>
  <c r="K17" i="42"/>
  <c r="T17" i="42"/>
  <c r="U17" i="42"/>
  <c r="X17" i="42"/>
  <c r="W17" i="42"/>
  <c r="V17" i="42"/>
  <c r="I17" i="10"/>
  <c r="U17" i="10"/>
  <c r="V17" i="10"/>
  <c r="R17" i="10"/>
  <c r="X17" i="10"/>
  <c r="W17" i="10"/>
  <c r="S17" i="10"/>
  <c r="T17" i="10"/>
  <c r="X21" i="36"/>
  <c r="Y21" i="36"/>
  <c r="W21" i="36"/>
  <c r="V21" i="36"/>
  <c r="K21" i="36"/>
  <c r="T21" i="36"/>
  <c r="S21" i="36"/>
  <c r="U21" i="36"/>
  <c r="U16" i="21"/>
  <c r="R16" i="21"/>
  <c r="S16" i="21"/>
  <c r="V16" i="21"/>
  <c r="I16" i="21"/>
  <c r="W16" i="21"/>
  <c r="X16" i="21"/>
  <c r="T16" i="21"/>
  <c r="W22" i="42"/>
  <c r="U22" i="42"/>
  <c r="X22" i="42"/>
  <c r="T22" i="42"/>
  <c r="K22" i="42"/>
  <c r="S22" i="42"/>
  <c r="V22" i="42"/>
  <c r="Y22" i="42"/>
  <c r="S15" i="10"/>
  <c r="W15" i="10"/>
  <c r="I15" i="10"/>
  <c r="X15" i="10"/>
  <c r="T15" i="10"/>
  <c r="R15" i="10"/>
  <c r="V15" i="10"/>
  <c r="U15" i="10"/>
  <c r="V20" i="36"/>
  <c r="W20" i="36"/>
  <c r="T20" i="36"/>
  <c r="U20" i="36"/>
  <c r="K20" i="36"/>
  <c r="S20" i="36"/>
  <c r="X20" i="36"/>
  <c r="Y20" i="36"/>
  <c r="W15" i="21"/>
  <c r="U15" i="21"/>
  <c r="R15" i="21"/>
  <c r="X15" i="21"/>
  <c r="T15" i="21"/>
  <c r="S15" i="21"/>
  <c r="V15" i="21"/>
  <c r="I15" i="21"/>
  <c r="Y18" i="42"/>
  <c r="T18" i="42"/>
  <c r="W18" i="42"/>
  <c r="U18" i="42"/>
  <c r="X18" i="42"/>
  <c r="S18" i="42"/>
  <c r="V18" i="42"/>
  <c r="K18" i="42"/>
  <c r="U18" i="10"/>
  <c r="V18" i="10"/>
  <c r="R18" i="10"/>
  <c r="X18" i="10"/>
  <c r="T18" i="10"/>
  <c r="I18" i="10"/>
  <c r="S18" i="10"/>
  <c r="W18" i="10"/>
  <c r="W17" i="36"/>
  <c r="U17" i="36"/>
  <c r="Y17" i="36"/>
  <c r="K17" i="36"/>
  <c r="T17" i="36"/>
  <c r="S17" i="36"/>
  <c r="X17" i="36"/>
  <c r="V17" i="36"/>
  <c r="S16" i="42"/>
  <c r="V16" i="42"/>
  <c r="T16" i="42"/>
  <c r="Y16" i="42"/>
  <c r="W16" i="42"/>
  <c r="U16" i="42"/>
  <c r="K16" i="42"/>
  <c r="X16" i="42"/>
  <c r="W23" i="42"/>
  <c r="S23" i="42"/>
  <c r="T23" i="42"/>
  <c r="V23" i="42"/>
  <c r="U23" i="42"/>
  <c r="K23" i="42"/>
  <c r="Y23" i="42"/>
  <c r="X23" i="42"/>
  <c r="U14" i="10"/>
  <c r="S14" i="10"/>
  <c r="R14" i="10"/>
  <c r="V14" i="10"/>
  <c r="T14" i="10"/>
  <c r="X14" i="10"/>
  <c r="I14" i="10"/>
  <c r="W14" i="10"/>
  <c r="X16" i="36"/>
  <c r="W16" i="36"/>
  <c r="U16" i="36"/>
  <c r="K16" i="36"/>
  <c r="T16" i="36"/>
  <c r="Y16" i="36"/>
  <c r="V16" i="36"/>
  <c r="S16" i="36"/>
  <c r="W20" i="21"/>
  <c r="U20" i="21"/>
  <c r="T20" i="21"/>
  <c r="V20" i="21"/>
  <c r="R20" i="21"/>
  <c r="X20" i="21"/>
  <c r="S20" i="21"/>
  <c r="W19" i="42"/>
  <c r="X19" i="42"/>
  <c r="U19" i="42"/>
  <c r="V19" i="42"/>
  <c r="T19" i="42"/>
  <c r="K19" i="42"/>
  <c r="Y19" i="42"/>
  <c r="S19"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E7" authorId="0" shapeId="0" xr:uid="{1725B767-826E-4F88-9721-7D6EF1B7CD14}">
      <text>
        <r>
          <rPr>
            <sz val="10"/>
            <color indexed="10"/>
            <rFont val="Consolas"/>
            <family val="3"/>
          </rPr>
          <t>Kamplængden er fra kampstart til kampstart, dvs. inkl. evt. halvlegspause og pause mellem kampe._x000D_
_x000D_
Eks.: Der spilles 2x20 min med 5 min. pause og 15 min. skiftetid mellem kampene = 20 + 20 + 5 + 15 = 55 min.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548BC5B2-B35E-4A63-90DC-D6560FB4BD79}">
      <text>
        <r>
          <rPr>
            <sz val="10"/>
            <color indexed="10"/>
            <rFont val="Consolas"/>
            <family val="3"/>
          </rPr>
          <t>=INDEKS(xTeams;A4;1)</t>
        </r>
      </text>
    </comment>
    <comment ref="I2" authorId="0" shapeId="0" xr:uid="{97C344A7-3655-4DAD-90CC-89A82CB59321}">
      <text>
        <r>
          <rPr>
            <sz val="10"/>
            <color indexed="10"/>
            <rFont val="Consolas"/>
            <family val="3"/>
          </rPr>
          <t>=PLADS($E4;$E$4:$E$11;0) + TÆL.HVIS($E$4:$E4;$E4)-1</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B878D86F-FC2E-4938-A951-E39B4D3177B1}">
      <text>
        <r>
          <rPr>
            <sz val="10"/>
            <color indexed="10"/>
            <rFont val="Consolas"/>
            <family val="3"/>
          </rPr>
          <t>=INDEKS(xTeams;A4;1)</t>
        </r>
      </text>
    </comment>
    <comment ref="I2" authorId="0" shapeId="0" xr:uid="{98C67B11-533D-474A-A8CA-9293537F2587}">
      <text>
        <r>
          <rPr>
            <sz val="10"/>
            <color indexed="10"/>
            <rFont val="Consolas"/>
            <family val="3"/>
          </rPr>
          <t>=PLADS($E4;$E$4:$E$11;0) + TÆL.HVIS($E$4:$E4;$E4)-1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A1DDDDCF-10B4-4F7E-BF04-DC3092BCFBDD}">
      <text>
        <r>
          <rPr>
            <sz val="10"/>
            <color indexed="10"/>
            <rFont val="Consolas"/>
            <family val="3"/>
          </rPr>
          <t>=INDEKS(xTeams;A4;1)</t>
        </r>
      </text>
    </comment>
    <comment ref="I2" authorId="0" shapeId="0" xr:uid="{802CEF97-1B86-4FBD-9C12-0930E585CB09}">
      <text>
        <r>
          <rPr>
            <sz val="10"/>
            <color indexed="10"/>
            <rFont val="Consolas"/>
            <family val="3"/>
          </rPr>
          <t>=PLADS($E4;$E$4:$E$11;0) + TÆL.HVIS($E$4:$E4;$E4)-1</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I2" authorId="0" shapeId="0" xr:uid="{00000000-0006-0000-1400-000002000000}">
      <text>
        <r>
          <rPr>
            <sz val="10"/>
            <color indexed="10"/>
            <rFont val="Consolas"/>
            <family val="3"/>
          </rPr>
          <t>=PLADS($E4;$E$4:$E$11;0) + TÆL.HVIS($E$4:$E4;$E4)-1</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I2" authorId="0" shapeId="0" xr:uid="{EB3F90AA-477A-4B58-9674-FA223E60073D}">
      <text>
        <r>
          <rPr>
            <sz val="10"/>
            <color indexed="10"/>
            <rFont val="Consolas"/>
            <family val="3"/>
          </rPr>
          <t>=PLADS($E4;$E$4:$E$11;0) + TÆL.HVIS($E$4:$E4;$E4)-1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I2" authorId="0" shapeId="0" xr:uid="{8AE4545D-570B-402E-AA79-2DEA0BBD6BA5}">
      <text>
        <r>
          <rPr>
            <sz val="10"/>
            <color indexed="10"/>
            <rFont val="Consolas"/>
            <family val="3"/>
          </rPr>
          <t>=PLADS($E4;$E$4:$E$11;0) + TÆL.HVIS($E$4:$E4;$E4)-1</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I2" authorId="0" shapeId="0" xr:uid="{B488F777-55D4-4CC6-ACA5-0EDCC8C6C4C7}">
      <text>
        <r>
          <rPr>
            <sz val="10"/>
            <color indexed="10"/>
            <rFont val="Consolas"/>
            <family val="3"/>
          </rPr>
          <t>=PLADS($E4;$E$4:$E$11;0) + TÆL.HVIS($E$4:$E4;$E4)-1</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6F11D70E-0569-4EFB-8825-F4365E1D8C92}">
      <text>
        <r>
          <rPr>
            <sz val="10"/>
            <color indexed="10"/>
            <rFont val="Consolas"/>
            <family val="3"/>
          </rPr>
          <t>=INDEKS(xTeams;A4;1)</t>
        </r>
      </text>
    </comment>
    <comment ref="I2" authorId="0" shapeId="0" xr:uid="{BDEAE0EB-2917-4CE8-BCF2-391C1D823BDD}">
      <text>
        <r>
          <rPr>
            <sz val="10"/>
            <color indexed="10"/>
            <rFont val="Consolas"/>
            <family val="3"/>
          </rPr>
          <t>=PLADS($E4;$E$4:$E$11;0) + TÆL.HVIS($E$4:$E4;$E4)-1</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C8274584-4A7D-4232-A6F3-C1837DF47616}">
      <text>
        <r>
          <rPr>
            <sz val="10"/>
            <color indexed="10"/>
            <rFont val="Consolas"/>
            <family val="3"/>
          </rPr>
          <t>=INDEKS(xTeams;A4;1)</t>
        </r>
      </text>
    </comment>
    <comment ref="I2" authorId="0" shapeId="0" xr:uid="{063CDD52-6F30-427A-AC93-9984C5FADD5D}">
      <text>
        <r>
          <rPr>
            <sz val="10"/>
            <color indexed="10"/>
            <rFont val="Consolas"/>
            <family val="3"/>
          </rPr>
          <t>=PLADS($E4;$E$4:$E$11;0) + TÆL.HVIS($E$4:$E4;$E4)-1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F6241CC7-E175-486B-A527-B1286E16C1F7}">
      <text>
        <r>
          <rPr>
            <sz val="10"/>
            <color indexed="10"/>
            <rFont val="Consolas"/>
            <family val="3"/>
          </rPr>
          <t>=INDEKS(xTeams;A4;1)</t>
        </r>
      </text>
    </comment>
    <comment ref="I2" authorId="0" shapeId="0" xr:uid="{2DE4F55E-0909-4D3E-8EF7-E589A3D47BFB}">
      <text>
        <r>
          <rPr>
            <sz val="10"/>
            <color indexed="10"/>
            <rFont val="Consolas"/>
            <family val="3"/>
          </rPr>
          <t>=PLADS($E4;$E$4:$E$11;0) + TÆL.HVIS($E$4:$E4;$E4)-1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C1569D02-83C7-4394-9F24-A8062C5F0445}">
      <text>
        <r>
          <rPr>
            <sz val="10"/>
            <color indexed="10"/>
            <rFont val="Consolas"/>
            <family val="3"/>
          </rPr>
          <t>=INDEKS(xTeams;A4;1)</t>
        </r>
      </text>
    </comment>
    <comment ref="I2" authorId="0" shapeId="0" xr:uid="{7AB34A06-933E-4AED-8920-D5A7293B3D0F}">
      <text>
        <r>
          <rPr>
            <sz val="10"/>
            <color indexed="10"/>
            <rFont val="Consolas"/>
            <family val="3"/>
          </rPr>
          <t>=PLADS($E4;$E$4:$E$11;0) + TÆL.HVIS($E$4:$E4;$E4)-1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046851EC-1EEC-4E2E-96E5-FBF3282346A7}">
      <text>
        <r>
          <rPr>
            <sz val="10"/>
            <color indexed="10"/>
            <rFont val="Consolas"/>
            <family val="3"/>
          </rPr>
          <t>=INDEKS(xTeams;A4;1)</t>
        </r>
      </text>
    </comment>
    <comment ref="I2" authorId="0" shapeId="0" xr:uid="{16F9FA97-5A15-4D2C-A6F6-1AB819D0E8A6}">
      <text>
        <r>
          <rPr>
            <sz val="10"/>
            <color indexed="10"/>
            <rFont val="Consolas"/>
            <family val="3"/>
          </rPr>
          <t>=PLADS($E4;$E$4:$E$11;0) + TÆL.HVIS($E$4:$E4;$E4)-1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7C6B48A4-B8C7-4EAB-9268-B5A4853A628E}">
      <text>
        <r>
          <rPr>
            <sz val="10"/>
            <color indexed="10"/>
            <rFont val="Consolas"/>
            <family val="3"/>
          </rPr>
          <t>=INDEKS(xTeams;A4;1)</t>
        </r>
      </text>
    </comment>
    <comment ref="I2" authorId="0" shapeId="0" xr:uid="{196D3303-296A-4167-B187-DA34ED3C7EA0}">
      <text>
        <r>
          <rPr>
            <sz val="10"/>
            <color indexed="10"/>
            <rFont val="Consolas"/>
            <family val="3"/>
          </rPr>
          <t>=PLADS($E4;$E$4:$E$11;0) + TÆL.HVIS($E$4:$E4;$E4)-1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E505AF6C-637F-4EEF-B990-79A66BB39AC7}">
      <text>
        <r>
          <rPr>
            <sz val="10"/>
            <color indexed="10"/>
            <rFont val="Consolas"/>
            <family val="3"/>
          </rPr>
          <t>=INDEKS(xTeams;A4;1)</t>
        </r>
      </text>
    </comment>
    <comment ref="I2" authorId="0" shapeId="0" xr:uid="{96A20221-6AAB-412E-A13C-D3B6E157D5EF}">
      <text>
        <r>
          <rPr>
            <sz val="10"/>
            <color indexed="10"/>
            <rFont val="Consolas"/>
            <family val="3"/>
          </rPr>
          <t>=PLADS($E4;$E$4:$E$11;0) + TÆL.HVIS($E$4:$E4;$E4)-1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2258266A-9709-4A00-9239-373491E72B62}">
      <text>
        <r>
          <rPr>
            <sz val="10"/>
            <color indexed="10"/>
            <rFont val="Consolas"/>
            <family val="3"/>
          </rPr>
          <t>=INDEKS(xTeams;A4;1)</t>
        </r>
      </text>
    </comment>
    <comment ref="I2" authorId="0" shapeId="0" xr:uid="{E59A05BF-92F4-4C04-AA43-7907F45A37DD}">
      <text>
        <r>
          <rPr>
            <sz val="10"/>
            <color indexed="10"/>
            <rFont val="Consolas"/>
            <family val="3"/>
          </rPr>
          <t>=PLADS($E4;$E$4:$E$11;0) + TÆL.HVIS($E$4:$E4;$E4)-1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CAA53556-4778-4D01-9925-06D234844274}">
      <text>
        <r>
          <rPr>
            <sz val="10"/>
            <color indexed="10"/>
            <rFont val="Consolas"/>
            <family val="3"/>
          </rPr>
          <t>=INDEKS(xTeams;A4;1)</t>
        </r>
      </text>
    </comment>
    <comment ref="I2" authorId="0" shapeId="0" xr:uid="{EC3328E3-BA18-4443-8E60-0CDA8863E226}">
      <text>
        <r>
          <rPr>
            <sz val="10"/>
            <color indexed="10"/>
            <rFont val="Consolas"/>
            <family val="3"/>
          </rPr>
          <t>=PLADS($E4;$E$4:$E$11;0) + TÆL.HVIS($E$4:$E4;$E4)-1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D5904201-02A9-4EB9-8AC8-7582DA7EF659}">
      <text>
        <r>
          <rPr>
            <sz val="10"/>
            <color indexed="10"/>
            <rFont val="Consolas"/>
            <family val="3"/>
          </rPr>
          <t>=INDEKS(xTeams;A4;1)</t>
        </r>
      </text>
    </comment>
    <comment ref="I2" authorId="0" shapeId="0" xr:uid="{5AF3F36C-15DA-4A60-9087-B054AE46E934}">
      <text>
        <r>
          <rPr>
            <sz val="10"/>
            <color indexed="10"/>
            <rFont val="Consolas"/>
            <family val="3"/>
          </rPr>
          <t>=PLADS($E4;$E$4:$E$11;0) + TÆL.HVIS($E$4:$E4;$E4)-1</t>
        </r>
      </text>
    </comment>
  </commentList>
</comments>
</file>

<file path=xl/sharedStrings.xml><?xml version="1.0" encoding="utf-8"?>
<sst xmlns="http://schemas.openxmlformats.org/spreadsheetml/2006/main" count="1964" uniqueCount="224">
  <si>
    <t>Turneringsnavn</t>
  </si>
  <si>
    <t>?</t>
  </si>
  <si>
    <t>123</t>
  </si>
  <si>
    <t>h1</t>
  </si>
  <si>
    <t>u1</t>
  </si>
  <si>
    <t>K</t>
  </si>
  <si>
    <t>V</t>
  </si>
  <si>
    <t>U</t>
  </si>
  <si>
    <t>T</t>
  </si>
  <si>
    <t>M+</t>
  </si>
  <si>
    <t>M-</t>
  </si>
  <si>
    <t>Assens</t>
  </si>
  <si>
    <t>Bogense</t>
  </si>
  <si>
    <t>Christiansfelt</t>
  </si>
  <si>
    <t>Dragør</t>
  </si>
  <si>
    <t>Ejby</t>
  </si>
  <si>
    <t>Fjerritslev</t>
  </si>
  <si>
    <t>Use</t>
  </si>
  <si>
    <t>Check</t>
  </si>
  <si>
    <t>Kamp</t>
  </si>
  <si>
    <t>KL</t>
  </si>
  <si>
    <t>RK</t>
  </si>
  <si>
    <t>H1</t>
  </si>
  <si>
    <t>H2</t>
  </si>
  <si>
    <t>i</t>
  </si>
  <si>
    <t>Dato</t>
  </si>
  <si>
    <t>Hold 1</t>
  </si>
  <si>
    <t>Hold 2</t>
  </si>
  <si>
    <t>Dato *</t>
  </si>
  <si>
    <t>Tid *</t>
  </si>
  <si>
    <t>Bane *</t>
  </si>
  <si>
    <t>Mål *</t>
  </si>
  <si>
    <t>Pt</t>
  </si>
  <si>
    <t>*</t>
  </si>
  <si>
    <t>Bronze</t>
  </si>
  <si>
    <t>4.</t>
  </si>
  <si>
    <t>Guld</t>
  </si>
  <si>
    <t>Sølv</t>
  </si>
  <si>
    <t>Hvad går det ud på?</t>
  </si>
  <si>
    <t>Med turneringsplanen er det nemt at afvikle en turnering med hold, der spiller alle-mod-alle.</t>
  </si>
  <si>
    <t>På arket indstillinger vælger du points for vundne, uafgjorte og tabte kampe.</t>
  </si>
  <si>
    <t>Hvordan gør du?</t>
  </si>
  <si>
    <t>Tiden fra kampstart til kampstart rettes på arket 'Indstillinger'.</t>
  </si>
  <si>
    <t>Alle datoer og tider kan overskrives.</t>
  </si>
  <si>
    <t>I oversigten opdateres den samlede stilling</t>
  </si>
  <si>
    <t>automatisk: Antal Kampe, Vundne, Uafgjort, Tabt,</t>
  </si>
  <si>
    <t>egne scoringer (M+), modstandernes scoringer (M-)</t>
  </si>
  <si>
    <t>Beskyttelse</t>
  </si>
  <si>
    <t>Alle ark er beskyttede. Du kan altså kun rette i ikke-låste celler (de</t>
  </si>
  <si>
    <t>hvide). Men - der er ikke brugt kode, så du kan blot fjerne</t>
  </si>
  <si>
    <t>ark-beskyttelsen, hvis du selv vil arbejde videre.</t>
  </si>
  <si>
    <t>Indstillinger</t>
  </si>
  <si>
    <t xml:space="preserve">På arket 'Indstillinger' angiver du hvor mange points, </t>
  </si>
  <si>
    <t>der gives for kampe, der er vundet, uafgjort og tabt.</t>
  </si>
  <si>
    <t>Du kan også indtaste kamplængde. Se kommentaren</t>
  </si>
  <si>
    <t>for mere info.</t>
  </si>
  <si>
    <t>Venligst: Slet ikke dette ark.</t>
  </si>
  <si>
    <t>Glamsbjerg</t>
  </si>
  <si>
    <t>Holeby</t>
  </si>
  <si>
    <t>Indre By</t>
  </si>
  <si>
    <t>Jullerup</t>
  </si>
  <si>
    <t>Points for vundet kamp</t>
  </si>
  <si>
    <t>Points for uafgjort</t>
  </si>
  <si>
    <t>Points for tabt kamp</t>
  </si>
  <si>
    <t>B</t>
  </si>
  <si>
    <t>Kampe/runde</t>
  </si>
  <si>
    <t>T_01</t>
  </si>
  <si>
    <t>T_02</t>
  </si>
  <si>
    <t>T_03</t>
  </si>
  <si>
    <t>T_04</t>
  </si>
  <si>
    <t>T_05</t>
  </si>
  <si>
    <t>T_06</t>
  </si>
  <si>
    <t>T_07</t>
  </si>
  <si>
    <t>T_08</t>
  </si>
  <si>
    <t>T_09</t>
  </si>
  <si>
    <t>T_10</t>
  </si>
  <si>
    <t>T_01T_10</t>
  </si>
  <si>
    <t>T_02T_09</t>
  </si>
  <si>
    <t>T_03T_08</t>
  </si>
  <si>
    <t>T_04T_07</t>
  </si>
  <si>
    <t>T_05T_06</t>
  </si>
  <si>
    <t>T_09T_01</t>
  </si>
  <si>
    <t>T_10T_08</t>
  </si>
  <si>
    <t>T_02T_07</t>
  </si>
  <si>
    <t>T_03T_06</t>
  </si>
  <si>
    <t>T_04T_05</t>
  </si>
  <si>
    <t>T_01T_08</t>
  </si>
  <si>
    <t>T_09T_07</t>
  </si>
  <si>
    <t>T_10T_06</t>
  </si>
  <si>
    <t>T_02T_05</t>
  </si>
  <si>
    <t>T_03T_04</t>
  </si>
  <si>
    <t>T_07T_01</t>
  </si>
  <si>
    <t>T_08T_06</t>
  </si>
  <si>
    <t>T_09T_05</t>
  </si>
  <si>
    <t>T_10T_04</t>
  </si>
  <si>
    <t>T_02T_03</t>
  </si>
  <si>
    <t>T_01T_06</t>
  </si>
  <si>
    <t>T_07T_05</t>
  </si>
  <si>
    <t>T_08T_04</t>
  </si>
  <si>
    <t>T_09T_03</t>
  </si>
  <si>
    <t>T_10T_02</t>
  </si>
  <si>
    <t>T_05T_01</t>
  </si>
  <si>
    <t>T_06T_04</t>
  </si>
  <si>
    <t>T_07T_03</t>
  </si>
  <si>
    <t>T_08T_02</t>
  </si>
  <si>
    <t>T_09T_10</t>
  </si>
  <si>
    <t>T_01T_04</t>
  </si>
  <si>
    <t>T_05T_03</t>
  </si>
  <si>
    <t>T_06T_02</t>
  </si>
  <si>
    <t>T_07T_10</t>
  </si>
  <si>
    <t>T_08T_09</t>
  </si>
  <si>
    <t>T_03T_01</t>
  </si>
  <si>
    <t>T_04T_02</t>
  </si>
  <si>
    <t>T_05T_10</t>
  </si>
  <si>
    <t>T_06T_09</t>
  </si>
  <si>
    <t>T_07T_08</t>
  </si>
  <si>
    <t>T_01T_02</t>
  </si>
  <si>
    <t>T_03T_10</t>
  </si>
  <si>
    <t>T_04T_09</t>
  </si>
  <si>
    <t>T_05T_08</t>
  </si>
  <si>
    <t>T_06T_07</t>
  </si>
  <si>
    <t>T_10T_01</t>
  </si>
  <si>
    <t>T_09T_02</t>
  </si>
  <si>
    <t>T_08T_03</t>
  </si>
  <si>
    <t>T_07T_04</t>
  </si>
  <si>
    <t>T_06T_05</t>
  </si>
  <si>
    <t>T_01T_09</t>
  </si>
  <si>
    <t>T_08T_10</t>
  </si>
  <si>
    <t>T_07T_02</t>
  </si>
  <si>
    <t>T_06T_03</t>
  </si>
  <si>
    <t>T_05T_04</t>
  </si>
  <si>
    <t>T_08T_01</t>
  </si>
  <si>
    <t>T_07T_09</t>
  </si>
  <si>
    <t>T_06T_10</t>
  </si>
  <si>
    <t>T_05T_02</t>
  </si>
  <si>
    <t>T_04T_03</t>
  </si>
  <si>
    <t>T_01T_07</t>
  </si>
  <si>
    <t>T_06T_08</t>
  </si>
  <si>
    <t>T_05T_09</t>
  </si>
  <si>
    <t>T_04T_10</t>
  </si>
  <si>
    <t>T_03T_02</t>
  </si>
  <si>
    <t>T_06T_01</t>
  </si>
  <si>
    <t>T_05T_07</t>
  </si>
  <si>
    <t>T_04T_08</t>
  </si>
  <si>
    <t>T_03T_09</t>
  </si>
  <si>
    <t>T_02T_10</t>
  </si>
  <si>
    <t>T_01T_05</t>
  </si>
  <si>
    <t>T_04T_06</t>
  </si>
  <si>
    <t>T_03T_07</t>
  </si>
  <si>
    <t>T_02T_08</t>
  </si>
  <si>
    <t>T_10T_09</t>
  </si>
  <si>
    <t>T_04T_01</t>
  </si>
  <si>
    <t>T_03T_05</t>
  </si>
  <si>
    <t>T_02T_06</t>
  </si>
  <si>
    <t>T_10T_07</t>
  </si>
  <si>
    <t>T_09T_08</t>
  </si>
  <si>
    <t>T_01T_03</t>
  </si>
  <si>
    <t>T_02T_04</t>
  </si>
  <si>
    <t>T_10T_05</t>
  </si>
  <si>
    <t>T_09T_06</t>
  </si>
  <si>
    <t>T_08T_07</t>
  </si>
  <si>
    <t>T_02T_01</t>
  </si>
  <si>
    <t>T_10T_03</t>
  </si>
  <si>
    <t>T_09T_04</t>
  </si>
  <si>
    <t>T_08T_05</t>
  </si>
  <si>
    <t>T_07T_06</t>
  </si>
  <si>
    <t>Kampe</t>
  </si>
  <si>
    <t>Sum</t>
  </si>
  <si>
    <t>Hold</t>
  </si>
  <si>
    <t>www.xleasy.dk</t>
  </si>
  <si>
    <t xml:space="preserve">FAIR BRUG indebærer, at du glæder dig selv og andre ved at tilpasse, kopiere og dele Løsningen. 
Det er ikke FAIR brug at lægge Løsningen til fri download virksomhedens intranet, på offentligt tilgængelige websites eller forums. Hvis du ønsker, at løsningen (evt. med dine tilpasninger) skal være tilgængelig for en bredere kreds, er du velkommen til at kontakte mig, så vi kan indgå en fair aftale.
Det er ikke FAIR BRUG at påstå, at det er din løsning eller at videredistribuere den i nogen form.
</t>
  </si>
  <si>
    <t>FAIR BRUG</t>
  </si>
  <si>
    <r>
      <t xml:space="preserve">Du er må anvende dette værktøj på arbejde, privat og i foreninger. Du må redigere indhold og ændre opsætning. Du må dele dit arbejde med kolleger, kunder, familie osv. Jeg håber dog, at du vil være </t>
    </r>
    <r>
      <rPr>
        <b/>
        <sz val="10"/>
        <rFont val="Verdana"/>
        <family val="2"/>
      </rPr>
      <t>fair</t>
    </r>
    <r>
      <rPr>
        <sz val="10"/>
        <color rgb="FF000000"/>
        <rFont val="Verdana"/>
        <family val="2"/>
      </rPr>
      <t xml:space="preserve"> i din brug.</t>
    </r>
  </si>
  <si>
    <t>Tak for din interesse for denne xlEasy løsning. Jeg håber, det bliver til glæde og nytte. Alt er tilrettelagt, så du får den bedst mulige oplevelse. Det indebærer bl.a., at der ikke er begænsninger, der gør det besværligt at tage løsningen i brug eller irriterer, når du arbejder.</t>
  </si>
  <si>
    <r>
      <t>Brug for flere funktioner? Ring 20 11 22 10 og spørg.</t>
    </r>
    <r>
      <rPr>
        <sz val="12"/>
        <color theme="0"/>
        <rFont val="Segoe UI Light"/>
        <family val="2"/>
      </rPr>
      <t xml:space="preserve">
Det er nemt og helt uforpligtende.
Ring på tlf. </t>
    </r>
    <r>
      <rPr>
        <b/>
        <sz val="12"/>
        <color theme="0"/>
        <rFont val="Segoe UI Light"/>
        <family val="2"/>
      </rPr>
      <t>20 11 22 10</t>
    </r>
    <r>
      <rPr>
        <sz val="12"/>
        <color theme="0"/>
        <rFont val="Segoe UI Light"/>
        <family val="2"/>
      </rPr>
      <t xml:space="preserve"> og aftalt et tidspunkt.</t>
    </r>
  </si>
  <si>
    <t>G</t>
  </si>
  <si>
    <t xml:space="preserve">Hold </t>
  </si>
  <si>
    <t>Points</t>
  </si>
  <si>
    <t>Målforsk</t>
  </si>
  <si>
    <t>Regnskab</t>
  </si>
  <si>
    <t>Holdnavn</t>
  </si>
  <si>
    <t>Pl</t>
  </si>
  <si>
    <t>1 Points</t>
  </si>
  <si>
    <t>2 Målforsk</t>
  </si>
  <si>
    <t>3 Mål</t>
  </si>
  <si>
    <t>Holdnr</t>
  </si>
  <si>
    <t>Ranking</t>
  </si>
  <si>
    <t>Antal scorede mål</t>
  </si>
  <si>
    <t>Tastet rækkefølge på Indstillinger</t>
  </si>
  <si>
    <t>Hold uden spillede kampe vises nederst.</t>
  </si>
  <si>
    <t>Placerings- og visningsregler</t>
  </si>
  <si>
    <t>Målforskel</t>
  </si>
  <si>
    <t>Samlet</t>
  </si>
  <si>
    <t>Mål 1</t>
  </si>
  <si>
    <t>Mål 2</t>
  </si>
  <si>
    <t>Bane</t>
  </si>
  <si>
    <t>Tid</t>
  </si>
  <si>
    <t>Turneringsinfo</t>
  </si>
  <si>
    <t>Plads</t>
  </si>
  <si>
    <t>Kampstart-til-kampstart (minutter)</t>
  </si>
  <si>
    <t>Help matrix</t>
  </si>
  <si>
    <t>PlaceCalc</t>
  </si>
  <si>
    <t>På arket 'Indstillinger' taster du holdnavne.</t>
  </si>
  <si>
    <t>De dukker automatisk på på arket med turneringsplaner.</t>
  </si>
  <si>
    <t>Turneringsplanerne er navngivet AntalHoldxAntalRunder. 8x2 betyder altså</t>
  </si>
  <si>
    <t>at 8 hold spiller 2 gange mod hinanden.</t>
  </si>
  <si>
    <t>Kampoversigterne dannes også automatisk.</t>
  </si>
  <si>
    <t>For at færdiggøre kampprogrammet, kan du evt.</t>
  </si>
  <si>
    <t>udfylde Dato, Tid og Bane.</t>
  </si>
  <si>
    <t>Kolonnen tid kan udfyldes automatisk: Skriv første kampstart i cellen med *.</t>
  </si>
  <si>
    <t>Når en kamp er færdig, taster du resultatet i 'Mål 1' og 'Mål 2'.</t>
  </si>
  <si>
    <t>Points beregnes automatisk ud fra dine valg på arket 'Indstillinger'.</t>
  </si>
  <si>
    <t>Finale (Guldkamp) og semifinale (Branzekamp): Du kan skjule dem, hvis ikke de bruges.</t>
  </si>
  <si>
    <t>Du skal selv vælge holdene til finale og semifinale. Resultaterne indgår ikke i den samlede stilling.</t>
  </si>
  <si>
    <t>Skjul eller slet: Fjern arkbeskyttelse og skjul eller slet rækkerne.</t>
  </si>
  <si>
    <t>De øvrige tidspunkter indsættes automatisk frem til næste *.</t>
  </si>
  <si>
    <r>
      <t xml:space="preserve">og points. </t>
    </r>
    <r>
      <rPr>
        <b/>
        <sz val="10"/>
        <rFont val="Verdana"/>
        <family val="2"/>
      </rPr>
      <t>Placeringerne</t>
    </r>
    <r>
      <rPr>
        <sz val="10"/>
        <rFont val="Verdana"/>
        <family val="2"/>
      </rPr>
      <t xml:space="preserve"> (rækkefølgen) opdateres</t>
    </r>
  </si>
  <si>
    <t>efter hver kamp. Se reglerne på arket 'Indstillinger'.</t>
  </si>
  <si>
    <t>https://www.dbu.dk/turneringer-og-resultater/love-og-regler/faelles-turneringsregler/</t>
  </si>
  <si>
    <t>På arket 'Indstillinger' er vist de regler for placering, der anvendes i alle turneringsformater her.</t>
  </si>
  <si>
    <t>Nr. 4: Hvis to hold har identisk score-koefficient, vises holdene i den rækkefølge de er tastet på 'Indstillinger'.</t>
  </si>
  <si>
    <t>Nr. 5: Alle hold er placeret nederst i tabellen indtil kampene spilles.</t>
  </si>
  <si>
    <t>Hos de enkelte forbund indenfor vandpolo, håndbold, fodbold osv. er der mange spændende finurligheder. Se f.eks. hvad DBU skriver:</t>
  </si>
  <si>
    <t>Forårsstævne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</si>
</sst>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
    <numFmt numFmtId="166" formatCode="hh:mm;@"/>
    <numFmt numFmtId="167" formatCode="0\ &quot;min&quot;"/>
    <numFmt numFmtId="168" formatCode="[$-F400]h:mm:ss\ AM/PM"/>
    <numFmt numFmtId="169" formatCode="0.0"/>
  </numFmts>
  <fonts count="60" x14ac:knownFonts="1">
    <font>
      <sz val="10"/>
      <color rgb="FF00000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color rgb="FF000000"/>
      <name val="Trebuchet MS"/>
      <family val="2"/>
    </font>
    <font>
      <b/>
      <sz val="10"/>
      <color rgb="FF000000"/>
      <name val="Trebuchet MS"/>
      <family val="2"/>
    </font>
    <font>
      <sz val="10"/>
      <color theme="1"/>
      <name val="Consolas"/>
      <family val="3"/>
    </font>
    <font>
      <b/>
      <sz val="10"/>
      <name val="Verdana"/>
      <family val="2"/>
    </font>
    <font>
      <sz val="12"/>
      <color theme="1"/>
      <name val="Consolas"/>
      <family val="3"/>
    </font>
    <font>
      <i/>
      <sz val="12"/>
      <color theme="1"/>
      <name val="Consolas"/>
      <family val="3"/>
    </font>
    <font>
      <sz val="11"/>
      <color rgb="FF000000"/>
      <name val="Verdana"/>
      <family val="2"/>
    </font>
    <font>
      <sz val="10"/>
      <color rgb="FF000000"/>
      <name val="Consolas"/>
      <family val="3"/>
    </font>
    <font>
      <sz val="13"/>
      <name val="Consolas"/>
      <family val="3"/>
    </font>
    <font>
      <b/>
      <sz val="10"/>
      <name val="Arial"/>
      <family val="2"/>
    </font>
    <font>
      <sz val="11"/>
      <name val="Verdana"/>
      <family val="2"/>
    </font>
    <font>
      <sz val="11"/>
      <name val="Consolas"/>
      <family val="3"/>
    </font>
    <font>
      <b/>
      <sz val="13"/>
      <name val="Consolas"/>
      <family val="3"/>
    </font>
    <font>
      <b/>
      <sz val="11"/>
      <name val="Verdana"/>
      <family val="2"/>
    </font>
    <font>
      <b/>
      <sz val="18"/>
      <color indexed="9"/>
      <name val="Segoe UI Light"/>
      <family val="2"/>
    </font>
    <font>
      <b/>
      <sz val="16"/>
      <color indexed="9"/>
      <name val="Segoe UI Light"/>
      <family val="2"/>
    </font>
    <font>
      <sz val="12"/>
      <color indexed="9"/>
      <name val="Verdana"/>
      <family val="2"/>
    </font>
    <font>
      <sz val="12"/>
      <color rgb="FFFFFFFF"/>
      <name val="Segoe UI"/>
      <family val="2"/>
    </font>
    <font>
      <sz val="12"/>
      <color theme="0"/>
      <name val="Segoe UI"/>
      <family val="2"/>
    </font>
    <font>
      <sz val="10"/>
      <name val="Verdana"/>
      <family val="2"/>
    </font>
    <font>
      <sz val="10"/>
      <color indexed="10"/>
      <name val="Consolas"/>
      <family val="3"/>
    </font>
    <font>
      <b/>
      <sz val="11"/>
      <color theme="0"/>
      <name val="Arial Black"/>
      <family val="2"/>
    </font>
    <font>
      <u/>
      <sz val="11"/>
      <color theme="4"/>
      <name val="Calibri"/>
      <family val="2"/>
      <scheme val="minor"/>
    </font>
    <font>
      <sz val="9"/>
      <color rgb="FF000000"/>
      <name val="Arial Narrow"/>
      <family val="2"/>
    </font>
    <font>
      <sz val="11"/>
      <color rgb="FF000000"/>
      <name val="Consolas"/>
      <family val="3"/>
    </font>
    <font>
      <b/>
      <sz val="10"/>
      <color rgb="FF000000"/>
      <name val="Verdana"/>
      <family val="2"/>
    </font>
    <font>
      <sz val="12"/>
      <color indexed="9"/>
      <name val="Segoe UI Light"/>
      <family val="2"/>
    </font>
    <font>
      <b/>
      <sz val="12"/>
      <color theme="0"/>
      <name val="Segoe UI Light"/>
      <family val="2"/>
    </font>
    <font>
      <sz val="12"/>
      <color theme="0"/>
      <name val="Segoe UI Light"/>
      <family val="2"/>
    </font>
    <font>
      <u/>
      <sz val="11"/>
      <name val="Segoe UI"/>
      <family val="2"/>
    </font>
    <font>
      <sz val="20"/>
      <color theme="1"/>
      <name val="Verdana"/>
      <family val="2"/>
    </font>
    <font>
      <sz val="15"/>
      <color theme="0"/>
      <name val="Segoe UI"/>
      <family val="2"/>
    </font>
    <font>
      <b/>
      <sz val="12"/>
      <color rgb="FF785E1E"/>
      <name val="Verdana"/>
      <family val="2"/>
    </font>
    <font>
      <b/>
      <sz val="12"/>
      <color rgb="FF593D21"/>
      <name val="Verdana"/>
      <family val="2"/>
    </font>
    <font>
      <b/>
      <sz val="10"/>
      <color theme="0"/>
      <name val="Verdana"/>
      <family val="2"/>
    </font>
    <font>
      <sz val="10"/>
      <color theme="0"/>
      <name val="Verdana"/>
      <family val="2"/>
    </font>
    <font>
      <sz val="10"/>
      <name val="Arial Narrow"/>
      <family val="2"/>
    </font>
    <font>
      <i/>
      <sz val="10"/>
      <color rgb="FF000000"/>
      <name val="Verdana"/>
      <family val="2"/>
    </font>
    <font>
      <sz val="10"/>
      <color rgb="FF000000"/>
      <name val="Verdana"/>
      <family val="2"/>
    </font>
    <font>
      <sz val="18"/>
      <color rgb="FF595959"/>
      <name val="Calibri Light"/>
      <family val="2"/>
      <scheme val="major"/>
    </font>
    <font>
      <sz val="18"/>
      <color rgb="FF000000"/>
      <name val="Trebuchet MS"/>
      <family val="2"/>
    </font>
    <font>
      <sz val="11"/>
      <color rgb="FFFFFFFF"/>
      <name val="Calibri"/>
      <family val="2"/>
      <scheme val="minor"/>
    </font>
    <font>
      <sz val="11"/>
      <color rgb="FF000000"/>
      <name val="Calibri"/>
      <family val="2"/>
      <scheme val="minor"/>
    </font>
    <font>
      <sz val="14"/>
      <color rgb="FF000000"/>
      <name val="Verdana"/>
      <family val="2"/>
    </font>
    <font>
      <sz val="11"/>
      <color theme="1"/>
      <name val="Verdana"/>
      <family val="2"/>
    </font>
    <font>
      <sz val="11"/>
      <name val="Arial"/>
      <family val="2"/>
    </font>
    <font>
      <b/>
      <sz val="11"/>
      <color theme="6" tint="-0.249977111117893"/>
      <name val="Verdana"/>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rgb="FF195834"/>
        <bgColor indexed="64"/>
      </patternFill>
    </fill>
    <fill>
      <patternFill patternType="solid">
        <fgColor theme="1"/>
        <bgColor indexed="64"/>
      </patternFill>
    </fill>
    <fill>
      <patternFill patternType="solid">
        <fgColor rgb="FF32764F"/>
        <bgColor indexed="64"/>
      </patternFill>
    </fill>
    <fill>
      <patternFill patternType="solid">
        <fgColor theme="9"/>
        <bgColor indexed="64"/>
      </patternFill>
    </fill>
    <fill>
      <patternFill patternType="solid">
        <fgColor indexed="9"/>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theme="1" tint="0.34998626667073579"/>
        <bgColor indexed="64"/>
      </patternFill>
    </fill>
    <fill>
      <patternFill patternType="solid">
        <fgColor theme="9" tint="0.79998168889431442"/>
        <bgColor indexed="65"/>
      </patternFill>
    </fill>
    <fill>
      <patternFill patternType="solid">
        <fgColor theme="9" tint="0.79998168889431442"/>
        <bgColor indexed="64"/>
      </patternFill>
    </fill>
    <fill>
      <patternFill patternType="solid">
        <fgColor theme="8"/>
        <bgColor indexed="64"/>
      </patternFill>
    </fill>
    <fill>
      <patternFill patternType="solid">
        <fgColor rgb="FFBB844C"/>
        <bgColor indexed="64"/>
      </patternFill>
    </fill>
    <fill>
      <patternFill patternType="solid">
        <fgColor rgb="FFD3AE51"/>
        <bgColor indexed="64"/>
      </patternFill>
    </fill>
    <fill>
      <patternFill patternType="solid">
        <fgColor theme="4"/>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67F08"/>
      </patternFill>
    </fill>
    <fill>
      <patternFill patternType="solid">
        <fgColor rgb="FFE31B46"/>
      </patternFill>
    </fill>
    <fill>
      <patternFill patternType="solid">
        <fgColor rgb="FF6492CA"/>
      </patternFill>
    </fill>
    <fill>
      <patternFill patternType="solid">
        <fgColor rgb="FF9D66AC"/>
      </patternFill>
    </fill>
    <fill>
      <patternFill patternType="solid">
        <fgColor rgb="FFE6FE00"/>
      </patternFill>
    </fill>
    <fill>
      <patternFill patternType="solid">
        <fgColor rgb="FF32764F"/>
      </patternFill>
    </fill>
    <fill>
      <patternFill patternType="solid">
        <fgColor theme="4" tint="0.59999389629810485"/>
        <bgColor indexed="64"/>
      </patternFill>
    </fill>
    <fill>
      <patternFill patternType="solid">
        <fgColor theme="0" tint="-0.34998626667073579"/>
        <bgColor indexed="64"/>
      </patternFill>
    </fill>
    <fill>
      <patternFill patternType="solid">
        <fgColor theme="8" tint="0.79998168889431442"/>
        <bgColor indexed="64"/>
      </patternFill>
    </fill>
  </fills>
  <borders count="9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indexed="64"/>
      </top>
      <bottom style="thin">
        <color theme="1" tint="0.49998474074526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indexed="64"/>
      </bottom>
      <diagonal/>
    </border>
    <border>
      <left/>
      <right/>
      <top/>
      <bottom style="medium">
        <color theme="6" tint="-0.499984740745262"/>
      </bottom>
      <diagonal/>
    </border>
    <border>
      <left/>
      <right/>
      <top style="medium">
        <color theme="6" tint="-0.499984740745262"/>
      </top>
      <bottom style="medium">
        <color theme="6" tint="-0.499984740745262"/>
      </bottom>
      <diagonal/>
    </border>
    <border>
      <left/>
      <right/>
      <top style="thin">
        <color indexed="64"/>
      </top>
      <bottom/>
      <diagonal/>
    </border>
    <border>
      <left/>
      <right/>
      <top style="medium">
        <color theme="0" tint="-0.24994659260841701"/>
      </top>
      <bottom style="medium">
        <color theme="0" tint="-0.24994659260841701"/>
      </bottom>
      <diagonal/>
    </border>
    <border>
      <left/>
      <right/>
      <top style="medium">
        <color theme="0"/>
      </top>
      <bottom style="medium">
        <color theme="0"/>
      </bottom>
      <diagonal/>
    </border>
    <border>
      <left/>
      <right/>
      <top style="thin">
        <color theme="6"/>
      </top>
      <bottom style="thin">
        <color theme="6"/>
      </bottom>
      <diagonal/>
    </border>
    <border>
      <left/>
      <right/>
      <top/>
      <bottom style="medium">
        <color theme="9" tint="0.39991454817346722"/>
      </bottom>
      <diagonal/>
    </border>
    <border>
      <left/>
      <right/>
      <top style="medium">
        <color theme="9" tint="0.39991454817346722"/>
      </top>
      <bottom style="medium">
        <color theme="9" tint="0.39991454817346722"/>
      </bottom>
      <diagonal/>
    </border>
    <border>
      <left/>
      <right/>
      <top style="medium">
        <color auto="1"/>
      </top>
      <bottom style="medium">
        <color theme="0" tint="-0.24994659260841701"/>
      </bottom>
      <diagonal/>
    </border>
    <border>
      <left/>
      <right/>
      <top/>
      <bottom style="thin">
        <color theme="2" tint="-0.24994659260841701"/>
      </bottom>
      <diagonal/>
    </border>
    <border>
      <left/>
      <right/>
      <top style="thin">
        <color indexed="64"/>
      </top>
      <bottom style="thin">
        <color theme="2" tint="-0.24994659260841701"/>
      </bottom>
      <diagonal/>
    </border>
    <border>
      <left style="medium">
        <color rgb="FF00B050"/>
      </left>
      <right style="medium">
        <color rgb="FF00B050"/>
      </right>
      <top style="medium">
        <color rgb="FF00B050"/>
      </top>
      <bottom style="thin">
        <color theme="2" tint="-0.24994659260841701"/>
      </bottom>
      <diagonal/>
    </border>
    <border>
      <left/>
      <right/>
      <top style="thin">
        <color theme="2" tint="-0.24994659260841701"/>
      </top>
      <bottom style="thin">
        <color theme="2" tint="-0.24994659260841701"/>
      </bottom>
      <diagonal/>
    </border>
    <border>
      <left/>
      <right/>
      <top style="thin">
        <color theme="2" tint="-0.24994659260841701"/>
      </top>
      <bottom style="medium">
        <color theme="2" tint="-0.24994659260841701"/>
      </bottom>
      <diagonal/>
    </border>
    <border>
      <left/>
      <right/>
      <top style="thin">
        <color theme="2" tint="-0.24994659260841701"/>
      </top>
      <bottom style="medium">
        <color auto="1"/>
      </bottom>
      <diagonal/>
    </border>
    <border>
      <left style="medium">
        <color rgb="FF00B050"/>
      </left>
      <right style="medium">
        <color rgb="FF00B050"/>
      </right>
      <top style="thin">
        <color theme="2" tint="-0.24994659260841701"/>
      </top>
      <bottom style="thin">
        <color theme="2" tint="-0.24994659260841701"/>
      </bottom>
      <diagonal/>
    </border>
    <border>
      <left style="thin">
        <color theme="4"/>
      </left>
      <right/>
      <top style="thin">
        <color theme="0" tint="-0.24994659260841701"/>
      </top>
      <bottom style="thin">
        <color theme="0" tint="-0.24994659260841701"/>
      </bottom>
      <diagonal/>
    </border>
    <border>
      <left style="thin">
        <color theme="0"/>
      </left>
      <right style="thin">
        <color theme="0"/>
      </right>
      <top style="thin">
        <color theme="6"/>
      </top>
      <bottom style="thin">
        <color theme="6"/>
      </bottom>
      <diagonal/>
    </border>
    <border>
      <left style="medium">
        <color theme="4"/>
      </left>
      <right style="medium">
        <color theme="4"/>
      </right>
      <top style="medium">
        <color theme="4"/>
      </top>
      <bottom style="medium">
        <color theme="4"/>
      </bottom>
      <diagonal/>
    </border>
    <border>
      <left/>
      <right/>
      <top style="thin">
        <color rgb="FF000000"/>
      </top>
      <bottom style="double">
        <color rgb="FF000000"/>
      </bottom>
      <diagonal/>
    </border>
    <border>
      <left/>
      <right/>
      <top style="hair">
        <color auto="1"/>
      </top>
      <bottom style="hair">
        <color auto="1"/>
      </bottom>
      <diagonal/>
    </border>
    <border>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medium">
        <color theme="0" tint="-0.24994659260841701"/>
      </bottom>
      <diagonal/>
    </border>
    <border>
      <left style="medium">
        <color theme="6" tint="-0.24994659260841701"/>
      </left>
      <right/>
      <top style="thin">
        <color theme="0" tint="-0.499984740745262"/>
      </top>
      <bottom style="thin">
        <color theme="0" tint="-0.499984740745262"/>
      </bottom>
      <diagonal/>
    </border>
    <border>
      <left/>
      <right style="medium">
        <color theme="6" tint="-0.24994659260841701"/>
      </right>
      <top style="thin">
        <color theme="0" tint="-0.499984740745262"/>
      </top>
      <bottom style="thin">
        <color theme="0" tint="-0.499984740745262"/>
      </bottom>
      <diagonal/>
    </border>
    <border>
      <left style="medium">
        <color theme="6" tint="-0.24994659260841701"/>
      </left>
      <right/>
      <top style="thin">
        <color theme="0" tint="-0.499984740745262"/>
      </top>
      <bottom style="medium">
        <color theme="0" tint="-0.499984740745262"/>
      </bottom>
      <diagonal/>
    </border>
    <border>
      <left/>
      <right style="medium">
        <color theme="6" tint="-0.24994659260841701"/>
      </right>
      <top style="thin">
        <color theme="0" tint="-0.499984740745262"/>
      </top>
      <bottom style="medium">
        <color theme="0" tint="-0.499984740745262"/>
      </bottom>
      <diagonal/>
    </border>
    <border>
      <left style="medium">
        <color theme="6" tint="-0.24994659260841701"/>
      </left>
      <right/>
      <top style="thin">
        <color theme="0" tint="-0.499984740745262"/>
      </top>
      <bottom style="medium">
        <color theme="6" tint="-0.24994659260841701"/>
      </bottom>
      <diagonal/>
    </border>
    <border>
      <left/>
      <right/>
      <top style="thin">
        <color theme="0" tint="-0.499984740745262"/>
      </top>
      <bottom style="medium">
        <color theme="6" tint="-0.24994659260841701"/>
      </bottom>
      <diagonal/>
    </border>
    <border>
      <left style="medium">
        <color theme="6" tint="-0.24994659260841701"/>
      </left>
      <right/>
      <top style="medium">
        <color theme="6" tint="-0.24994659260841701"/>
      </top>
      <bottom style="thin">
        <color theme="0" tint="-0.499984740745262"/>
      </bottom>
      <diagonal/>
    </border>
    <border>
      <left/>
      <right/>
      <top style="medium">
        <color theme="6" tint="-0.2499465926084170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hair">
        <color theme="1" tint="0.499984740745262"/>
      </left>
      <right/>
      <top style="thin">
        <color theme="0" tint="-0.499984740745262"/>
      </top>
      <bottom style="thin">
        <color theme="0" tint="-0.499984740745262"/>
      </bottom>
      <diagonal/>
    </border>
    <border>
      <left/>
      <right style="hair">
        <color theme="1" tint="0.499984740745262"/>
      </right>
      <top style="thin">
        <color theme="0" tint="-0.499984740745262"/>
      </top>
      <bottom style="thin">
        <color theme="0" tint="-0.499984740745262"/>
      </bottom>
      <diagonal/>
    </border>
    <border>
      <left/>
      <right style="hair">
        <color theme="1" tint="0.499984740745262"/>
      </right>
      <top style="thin">
        <color theme="0" tint="-0.499984740745262"/>
      </top>
      <bottom style="medium">
        <color theme="0" tint="-0.499984740745262"/>
      </bottom>
      <diagonal/>
    </border>
    <border>
      <left style="hair">
        <color theme="1" tint="0.499984740745262"/>
      </left>
      <right/>
      <top style="thin">
        <color theme="0" tint="-0.499984740745262"/>
      </top>
      <bottom style="medium">
        <color theme="0" tint="-0.499984740745262"/>
      </bottom>
      <diagonal/>
    </border>
    <border>
      <left/>
      <right style="hair">
        <color theme="1" tint="0.499984740745262"/>
      </right>
      <top style="medium">
        <color theme="6" tint="-0.24994659260841701"/>
      </top>
      <bottom style="thin">
        <color theme="0" tint="-0.499984740745262"/>
      </bottom>
      <diagonal/>
    </border>
    <border>
      <left style="hair">
        <color theme="1" tint="0.499984740745262"/>
      </left>
      <right/>
      <top style="medium">
        <color theme="6" tint="-0.24994659260841701"/>
      </top>
      <bottom style="thin">
        <color theme="0" tint="-0.499984740745262"/>
      </bottom>
      <diagonal/>
    </border>
    <border>
      <left/>
      <right style="medium">
        <color theme="6" tint="-0.24994659260841701"/>
      </right>
      <top style="medium">
        <color theme="6" tint="-0.24994659260841701"/>
      </top>
      <bottom style="thin">
        <color theme="0" tint="-0.499984740745262"/>
      </bottom>
      <diagonal/>
    </border>
    <border>
      <left/>
      <right style="hair">
        <color theme="1" tint="0.499984740745262"/>
      </right>
      <top style="thin">
        <color theme="0" tint="-0.499984740745262"/>
      </top>
      <bottom style="medium">
        <color theme="6" tint="-0.24994659260841701"/>
      </bottom>
      <diagonal/>
    </border>
    <border>
      <left style="hair">
        <color theme="1" tint="0.499984740745262"/>
      </left>
      <right/>
      <top style="thin">
        <color theme="0" tint="-0.499984740745262"/>
      </top>
      <bottom style="medium">
        <color theme="6" tint="-0.24994659260841701"/>
      </bottom>
      <diagonal/>
    </border>
    <border>
      <left/>
      <right style="medium">
        <color theme="6" tint="-0.24994659260841701"/>
      </right>
      <top style="thin">
        <color theme="0" tint="-0.499984740745262"/>
      </top>
      <bottom style="medium">
        <color theme="6" tint="-0.24994659260841701"/>
      </bottom>
      <diagonal/>
    </border>
    <border>
      <left/>
      <right/>
      <top/>
      <bottom style="thin">
        <color theme="0" tint="-0.499984740745262"/>
      </bottom>
      <diagonal/>
    </border>
    <border>
      <left style="medium">
        <color theme="6" tint="-0.24994659260841701"/>
      </left>
      <right/>
      <top/>
      <bottom style="thin">
        <color theme="0" tint="-0.499984740745262"/>
      </bottom>
      <diagonal/>
    </border>
    <border>
      <left/>
      <right style="hair">
        <color theme="1" tint="0.499984740745262"/>
      </right>
      <top/>
      <bottom style="thin">
        <color theme="0" tint="-0.499984740745262"/>
      </bottom>
      <diagonal/>
    </border>
    <border>
      <left style="hair">
        <color theme="1" tint="0.499984740745262"/>
      </left>
      <right/>
      <top/>
      <bottom style="thin">
        <color theme="0" tint="-0.499984740745262"/>
      </bottom>
      <diagonal/>
    </border>
    <border>
      <left/>
      <right style="medium">
        <color theme="6" tint="-0.24994659260841701"/>
      </right>
      <top/>
      <bottom style="thin">
        <color theme="0" tint="-0.499984740745262"/>
      </bottom>
      <diagonal/>
    </border>
    <border>
      <left/>
      <right/>
      <top style="thin">
        <color theme="0" tint="-0.499984740745262"/>
      </top>
      <bottom style="thick">
        <color theme="6"/>
      </bottom>
      <diagonal/>
    </border>
    <border>
      <left style="medium">
        <color theme="6" tint="-0.24994659260841701"/>
      </left>
      <right/>
      <top style="thin">
        <color theme="0" tint="-0.499984740745262"/>
      </top>
      <bottom style="thick">
        <color theme="6"/>
      </bottom>
      <diagonal/>
    </border>
    <border>
      <left/>
      <right style="hair">
        <color theme="1" tint="0.499984740745262"/>
      </right>
      <top style="thin">
        <color theme="0" tint="-0.499984740745262"/>
      </top>
      <bottom style="thick">
        <color theme="6"/>
      </bottom>
      <diagonal/>
    </border>
    <border>
      <left style="hair">
        <color theme="1" tint="0.499984740745262"/>
      </left>
      <right/>
      <top style="thin">
        <color theme="0" tint="-0.499984740745262"/>
      </top>
      <bottom style="thick">
        <color theme="6"/>
      </bottom>
      <diagonal/>
    </border>
    <border>
      <left/>
      <right style="medium">
        <color theme="6" tint="-0.24994659260841701"/>
      </right>
      <top style="thin">
        <color theme="0" tint="-0.499984740745262"/>
      </top>
      <bottom style="thick">
        <color theme="6"/>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hair">
        <color theme="1" tint="0.499984740745262"/>
      </right>
      <top style="medium">
        <color theme="6" tint="-0.24994659260841701"/>
      </top>
      <bottom style="medium">
        <color theme="6" tint="-0.24994659260841701"/>
      </bottom>
      <diagonal/>
    </border>
    <border>
      <left style="hair">
        <color theme="1" tint="0.499984740745262"/>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right/>
      <top/>
      <bottom style="medium">
        <color theme="6" tint="-0.24994659260841701"/>
      </bottom>
      <diagonal/>
    </border>
    <border>
      <left/>
      <right/>
      <top style="thin">
        <color theme="0" tint="-0.499984740745262"/>
      </top>
      <bottom style="thin">
        <color theme="0" tint="-0.34998626667073579"/>
      </bottom>
      <diagonal/>
    </border>
    <border>
      <left style="medium">
        <color theme="6" tint="-0.24994659260841701"/>
      </left>
      <right/>
      <top/>
      <bottom style="thin">
        <color theme="0" tint="-0.34998626667073579"/>
      </bottom>
      <diagonal/>
    </border>
    <border>
      <left/>
      <right/>
      <top/>
      <bottom style="thin">
        <color theme="0" tint="-0.34998626667073579"/>
      </bottom>
      <diagonal/>
    </border>
    <border>
      <left/>
      <right style="hair">
        <color theme="1" tint="0.499984740745262"/>
      </right>
      <top/>
      <bottom style="thin">
        <color theme="0" tint="-0.34998626667073579"/>
      </bottom>
      <diagonal/>
    </border>
    <border>
      <left style="hair">
        <color theme="1" tint="0.499984740745262"/>
      </left>
      <right/>
      <top/>
      <bottom style="thin">
        <color theme="0" tint="-0.34998626667073579"/>
      </bottom>
      <diagonal/>
    </border>
    <border>
      <left/>
      <right style="medium">
        <color theme="6" tint="-0.24994659260841701"/>
      </right>
      <top/>
      <bottom style="thin">
        <color theme="0" tint="-0.34998626667073579"/>
      </bottom>
      <diagonal/>
    </border>
    <border>
      <left/>
      <right/>
      <top style="thin">
        <color theme="0" tint="-0.34998626667073579"/>
      </top>
      <bottom style="thin">
        <color theme="0" tint="-0.34998626667073579"/>
      </bottom>
      <diagonal/>
    </border>
    <border>
      <left style="medium">
        <color theme="6" tint="-0.24994659260841701"/>
      </left>
      <right/>
      <top style="thin">
        <color theme="0" tint="-0.34998626667073579"/>
      </top>
      <bottom style="thin">
        <color theme="0" tint="-0.34998626667073579"/>
      </bottom>
      <diagonal/>
    </border>
    <border>
      <left/>
      <right style="hair">
        <color theme="1" tint="0.499984740745262"/>
      </right>
      <top style="thin">
        <color theme="0" tint="-0.34998626667073579"/>
      </top>
      <bottom style="thin">
        <color theme="0" tint="-0.34998626667073579"/>
      </bottom>
      <diagonal/>
    </border>
    <border>
      <left style="hair">
        <color theme="1" tint="0.499984740745262"/>
      </left>
      <right/>
      <top style="thin">
        <color theme="0" tint="-0.34998626667073579"/>
      </top>
      <bottom style="thin">
        <color theme="0" tint="-0.34998626667073579"/>
      </bottom>
      <diagonal/>
    </border>
    <border>
      <left/>
      <right style="medium">
        <color theme="6" tint="-0.24994659260841701"/>
      </right>
      <top style="thin">
        <color theme="0" tint="-0.34998626667073579"/>
      </top>
      <bottom style="thin">
        <color theme="0" tint="-0.34998626667073579"/>
      </bottom>
      <diagonal/>
    </border>
    <border>
      <left/>
      <right/>
      <top style="thin">
        <color theme="0" tint="-0.34998626667073579"/>
      </top>
      <bottom style="thick">
        <color theme="6"/>
      </bottom>
      <diagonal/>
    </border>
    <border>
      <left style="medium">
        <color theme="6" tint="-0.24994659260841701"/>
      </left>
      <right/>
      <top style="thin">
        <color theme="0" tint="-0.34998626667073579"/>
      </top>
      <bottom style="thick">
        <color theme="6"/>
      </bottom>
      <diagonal/>
    </border>
    <border>
      <left/>
      <right style="hair">
        <color theme="1" tint="0.499984740745262"/>
      </right>
      <top style="thin">
        <color theme="0" tint="-0.34998626667073579"/>
      </top>
      <bottom style="thick">
        <color theme="6"/>
      </bottom>
      <diagonal/>
    </border>
    <border>
      <left style="hair">
        <color theme="1" tint="0.499984740745262"/>
      </left>
      <right/>
      <top style="thin">
        <color theme="0" tint="-0.34998626667073579"/>
      </top>
      <bottom style="thick">
        <color theme="6"/>
      </bottom>
      <diagonal/>
    </border>
    <border>
      <left/>
      <right style="medium">
        <color theme="6" tint="-0.24994659260841701"/>
      </right>
      <top style="thin">
        <color theme="0" tint="-0.34998626667073579"/>
      </top>
      <bottom style="thick">
        <color theme="6"/>
      </bottom>
      <diagonal/>
    </border>
    <border>
      <left/>
      <right/>
      <top style="thick">
        <color theme="6"/>
      </top>
      <bottom style="thin">
        <color theme="0" tint="-0.34998626667073579"/>
      </bottom>
      <diagonal/>
    </border>
    <border>
      <left style="medium">
        <color theme="6" tint="-0.24994659260841701"/>
      </left>
      <right/>
      <top style="thick">
        <color theme="6"/>
      </top>
      <bottom style="thin">
        <color theme="0" tint="-0.34998626667073579"/>
      </bottom>
      <diagonal/>
    </border>
    <border>
      <left/>
      <right style="hair">
        <color theme="1" tint="0.499984740745262"/>
      </right>
      <top style="thick">
        <color theme="6"/>
      </top>
      <bottom style="thin">
        <color theme="0" tint="-0.34998626667073579"/>
      </bottom>
      <diagonal/>
    </border>
    <border>
      <left style="hair">
        <color theme="1" tint="0.499984740745262"/>
      </left>
      <right/>
      <top style="thick">
        <color theme="6"/>
      </top>
      <bottom style="thin">
        <color theme="0" tint="-0.34998626667073579"/>
      </bottom>
      <diagonal/>
    </border>
    <border>
      <left/>
      <right style="medium">
        <color theme="6" tint="-0.24994659260841701"/>
      </right>
      <top style="thick">
        <color theme="6"/>
      </top>
      <bottom style="thin">
        <color theme="0" tint="-0.34998626667073579"/>
      </bottom>
      <diagonal/>
    </border>
  </borders>
  <cellStyleXfs count="48">
    <xf numFmtId="0" fontId="0" fillId="0" borderId="0"/>
    <xf numFmtId="0" fontId="53" fillId="8" borderId="0" applyNumberFormat="0" applyProtection="0"/>
    <xf numFmtId="0" fontId="30" fillId="15" borderId="0" applyNumberFormat="0" applyProtection="0">
      <alignment vertical="center"/>
    </xf>
    <xf numFmtId="0" fontId="13" fillId="8" borderId="0" applyNumberFormat="0" applyAlignment="0" applyProtection="0"/>
    <xf numFmtId="0" fontId="14" fillId="0" borderId="0" applyNumberFormat="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5" borderId="1" applyNumberFormat="0" applyAlignment="0" applyProtection="0"/>
    <xf numFmtId="0" fontId="9" fillId="0" borderId="3" applyNumberFormat="0" applyFill="0" applyAlignment="0" applyProtection="0"/>
    <xf numFmtId="0" fontId="10" fillId="6" borderId="4" applyNumberFormat="0" applyAlignment="0" applyProtection="0"/>
    <xf numFmtId="0" fontId="11" fillId="0" borderId="0" applyNumberFormat="0" applyFill="0" applyBorder="0" applyAlignment="0" applyProtection="0"/>
    <xf numFmtId="0" fontId="3" fillId="7" borderId="5" applyNumberFormat="0" applyFont="0" applyAlignment="0" applyProtection="0"/>
    <xf numFmtId="0" fontId="12" fillId="0" borderId="0" applyNumberFormat="0" applyFill="0" applyBorder="0" applyAlignment="0" applyProtection="0"/>
    <xf numFmtId="0" fontId="19" fillId="8" borderId="0" applyNumberFormat="0" applyBorder="0">
      <alignment vertical="center"/>
    </xf>
    <xf numFmtId="1" fontId="21" fillId="0" borderId="0" applyFill="0" applyBorder="0" applyAlignment="0" applyProtection="0">
      <alignment horizontal="center" vertical="center"/>
    </xf>
    <xf numFmtId="1" fontId="24" fillId="0" borderId="0" applyBorder="0" applyAlignment="0" applyProtection="0">
      <alignment horizontal="center" vertical="center"/>
    </xf>
    <xf numFmtId="165" fontId="24" fillId="0" borderId="0" applyAlignment="0" applyProtection="0">
      <alignment horizontal="center" vertical="center"/>
    </xf>
    <xf numFmtId="166" fontId="24" fillId="0" borderId="0" applyAlignment="0" applyProtection="0">
      <alignment horizontal="center" vertical="center"/>
    </xf>
    <xf numFmtId="0" fontId="35" fillId="0" borderId="0" applyNumberFormat="0" applyFill="0" applyBorder="0" applyAlignment="0" applyProtection="0"/>
    <xf numFmtId="0" fontId="2" fillId="21" borderId="0" applyNumberFormat="0" applyBorder="0" applyAlignment="0" applyProtection="0"/>
    <xf numFmtId="0" fontId="51" fillId="0" borderId="29" applyNumberFormat="0" applyProtection="0">
      <alignment vertical="center"/>
    </xf>
    <xf numFmtId="0" fontId="52" fillId="8" borderId="0" applyNumberFormat="0" applyAlignment="0" applyProtection="0"/>
    <xf numFmtId="0" fontId="38" fillId="0" borderId="30" applyNumberFormat="0" applyAlignment="0" applyProtection="0"/>
    <xf numFmtId="0" fontId="54" fillId="46" borderId="0" applyNumberFormat="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4" fillId="47" borderId="0" applyNumberFormat="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4" fillId="48" borderId="0" applyNumberFormat="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4" fillId="49" borderId="0" applyNumberFormat="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5" fillId="50" borderId="0" applyNumberFormat="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54" fillId="51" borderId="0" applyNumberFormat="0" applyAlignment="0" applyProtection="0"/>
    <xf numFmtId="0" fontId="1" fillId="44" borderId="0" applyNumberFormat="0" applyBorder="0" applyAlignment="0" applyProtection="0"/>
    <xf numFmtId="0" fontId="1" fillId="45" borderId="0" applyNumberFormat="0" applyBorder="0" applyAlignment="0" applyProtection="0"/>
  </cellStyleXfs>
  <cellXfs count="222">
    <xf numFmtId="0" fontId="0" fillId="0" borderId="0" xfId="0"/>
    <xf numFmtId="0" fontId="0" fillId="10" borderId="9" xfId="0" applyFill="1" applyBorder="1" applyAlignment="1">
      <alignment vertical="center"/>
    </xf>
    <xf numFmtId="0" fontId="13" fillId="0" borderId="0" xfId="3" applyFill="1"/>
    <xf numFmtId="0" fontId="0" fillId="9" borderId="0" xfId="0" applyFill="1"/>
    <xf numFmtId="164" fontId="0" fillId="0" borderId="0" xfId="0" applyNumberFormat="1"/>
    <xf numFmtId="0" fontId="0" fillId="0" borderId="0" xfId="0" applyProtection="1">
      <protection locked="0"/>
    </xf>
    <xf numFmtId="0" fontId="15" fillId="0" borderId="0" xfId="0" applyFont="1" applyAlignment="1">
      <alignment horizontal="center" vertical="center"/>
    </xf>
    <xf numFmtId="0" fontId="15" fillId="10" borderId="0" xfId="0" quotePrefix="1" applyFont="1" applyFill="1" applyAlignment="1">
      <alignment horizontal="center"/>
    </xf>
    <xf numFmtId="0" fontId="17" fillId="9" borderId="6" xfId="0" applyFont="1" applyFill="1" applyBorder="1" applyAlignment="1">
      <alignment horizontal="center" vertical="center"/>
    </xf>
    <xf numFmtId="0" fontId="18" fillId="11" borderId="6" xfId="0" applyFont="1" applyFill="1" applyBorder="1" applyAlignment="1">
      <alignment horizontal="center" vertical="center"/>
    </xf>
    <xf numFmtId="0" fontId="15" fillId="10" borderId="7" xfId="0" applyFont="1" applyFill="1" applyBorder="1" applyAlignment="1">
      <alignment horizontal="center"/>
    </xf>
    <xf numFmtId="0" fontId="20" fillId="8" borderId="0" xfId="15" applyFont="1" applyAlignment="1">
      <alignment horizontal="center" vertical="center"/>
    </xf>
    <xf numFmtId="0" fontId="22" fillId="0" borderId="0" xfId="0" applyFont="1"/>
    <xf numFmtId="0" fontId="0" fillId="0" borderId="0" xfId="0" applyAlignment="1">
      <alignment horizontal="center" vertical="center"/>
    </xf>
    <xf numFmtId="1" fontId="0" fillId="0" borderId="0" xfId="0" applyNumberFormat="1"/>
    <xf numFmtId="0" fontId="0" fillId="12" borderId="0" xfId="0" applyFill="1" applyAlignment="1">
      <alignment vertical="center"/>
    </xf>
    <xf numFmtId="1" fontId="25" fillId="0" borderId="11" xfId="16" applyFont="1" applyBorder="1" applyAlignment="1" applyProtection="1">
      <alignment horizontal="center"/>
      <protection locked="0"/>
    </xf>
    <xf numFmtId="165" fontId="24" fillId="12" borderId="8" xfId="18" applyFill="1" applyBorder="1" applyProtection="1">
      <alignment horizontal="center" vertical="center"/>
      <protection locked="0"/>
    </xf>
    <xf numFmtId="1" fontId="25" fillId="0" borderId="12" xfId="16" applyFont="1" applyBorder="1" applyAlignment="1" applyProtection="1">
      <alignment horizontal="center"/>
      <protection locked="0"/>
    </xf>
    <xf numFmtId="0" fontId="0" fillId="0" borderId="13" xfId="0" applyBorder="1"/>
    <xf numFmtId="0" fontId="26" fillId="10" borderId="10" xfId="0" applyFont="1" applyFill="1" applyBorder="1"/>
    <xf numFmtId="1" fontId="21" fillId="0" borderId="14" xfId="16" applyBorder="1" applyAlignment="1">
      <alignment horizontal="center"/>
    </xf>
    <xf numFmtId="0" fontId="27" fillId="13" borderId="0" xfId="0" applyFont="1" applyFill="1" applyAlignment="1">
      <alignment vertical="center"/>
    </xf>
    <xf numFmtId="0" fontId="28" fillId="13" borderId="0" xfId="0" applyFont="1" applyFill="1" applyAlignment="1">
      <alignment horizontal="right" vertical="center"/>
    </xf>
    <xf numFmtId="0" fontId="29" fillId="14" borderId="15" xfId="0" applyFont="1" applyFill="1" applyBorder="1" applyAlignment="1">
      <alignment horizontal="left" vertical="center"/>
    </xf>
    <xf numFmtId="0" fontId="29" fillId="14" borderId="15" xfId="0" applyFont="1" applyFill="1" applyBorder="1" applyAlignment="1">
      <alignment horizontal="right" vertical="center"/>
    </xf>
    <xf numFmtId="0" fontId="0" fillId="17" borderId="0" xfId="0" applyFill="1"/>
    <xf numFmtId="0" fontId="32" fillId="17" borderId="0" xfId="0" applyFont="1" applyFill="1"/>
    <xf numFmtId="0" fontId="32" fillId="17" borderId="0" xfId="0" quotePrefix="1" applyFont="1" applyFill="1"/>
    <xf numFmtId="0" fontId="32" fillId="17" borderId="0" xfId="0" applyFont="1" applyFill="1" applyAlignment="1">
      <alignment horizontal="left" indent="3"/>
    </xf>
    <xf numFmtId="0" fontId="32" fillId="17" borderId="0" xfId="0" applyFont="1" applyFill="1" applyAlignment="1">
      <alignment horizontal="left" indent="20"/>
    </xf>
    <xf numFmtId="0" fontId="32" fillId="17" borderId="0" xfId="0" applyFont="1" applyFill="1" applyAlignment="1">
      <alignment horizontal="left" indent="15"/>
    </xf>
    <xf numFmtId="0" fontId="32" fillId="0" borderId="0" xfId="0" applyFont="1" applyAlignment="1">
      <alignment horizontal="left" indent="2"/>
    </xf>
    <xf numFmtId="0" fontId="32" fillId="0" borderId="0" xfId="0" applyFont="1"/>
    <xf numFmtId="0" fontId="0" fillId="0" borderId="0" xfId="0" applyAlignment="1">
      <alignment horizontal="center"/>
    </xf>
    <xf numFmtId="49" fontId="15" fillId="0" borderId="0" xfId="0" applyNumberFormat="1" applyFont="1" applyAlignment="1">
      <alignment horizontal="center" vertical="center"/>
    </xf>
    <xf numFmtId="0" fontId="18" fillId="9" borderId="6" xfId="0" applyFont="1" applyFill="1" applyBorder="1" applyAlignment="1">
      <alignment horizontal="center" vertical="center"/>
    </xf>
    <xf numFmtId="0" fontId="17" fillId="11" borderId="0" xfId="0" applyFont="1" applyFill="1" applyAlignment="1">
      <alignment horizontal="center" vertical="center"/>
    </xf>
    <xf numFmtId="0" fontId="0" fillId="12" borderId="0" xfId="0" applyFill="1"/>
    <xf numFmtId="0" fontId="16" fillId="19" borderId="0" xfId="0" applyFont="1" applyFill="1" applyAlignment="1">
      <alignment horizontal="center"/>
    </xf>
    <xf numFmtId="1" fontId="25" fillId="0" borderId="18" xfId="16" applyFont="1" applyBorder="1" applyAlignment="1" applyProtection="1">
      <alignment horizontal="center"/>
      <protection locked="0"/>
    </xf>
    <xf numFmtId="0" fontId="34" fillId="20" borderId="0" xfId="0" applyFont="1" applyFill="1" applyAlignment="1">
      <alignment horizontal="center" vertical="center"/>
    </xf>
    <xf numFmtId="0" fontId="36" fillId="22" borderId="0" xfId="0" applyFont="1" applyFill="1" applyAlignment="1">
      <alignment horizontal="center" vertical="center"/>
    </xf>
    <xf numFmtId="1" fontId="26" fillId="12" borderId="10" xfId="0" applyNumberFormat="1" applyFont="1" applyFill="1" applyBorder="1"/>
    <xf numFmtId="0" fontId="37" fillId="11" borderId="0" xfId="0" applyFont="1" applyFill="1"/>
    <xf numFmtId="0" fontId="37" fillId="11" borderId="0" xfId="0" applyFont="1" applyFill="1" applyAlignment="1">
      <alignment horizontal="center"/>
    </xf>
    <xf numFmtId="0" fontId="37" fillId="11" borderId="10" xfId="0" applyFont="1" applyFill="1" applyBorder="1"/>
    <xf numFmtId="0" fontId="24" fillId="11" borderId="10" xfId="0" applyFont="1" applyFill="1" applyBorder="1" applyAlignment="1">
      <alignment horizontal="right"/>
    </xf>
    <xf numFmtId="0" fontId="24" fillId="11" borderId="0" xfId="0" applyFont="1" applyFill="1" applyAlignment="1">
      <alignment horizontal="right"/>
    </xf>
    <xf numFmtId="0" fontId="24" fillId="11" borderId="0" xfId="0" applyFont="1" applyFill="1"/>
    <xf numFmtId="1" fontId="24" fillId="0" borderId="21" xfId="17" applyBorder="1" applyAlignment="1"/>
    <xf numFmtId="1" fontId="24" fillId="12" borderId="20" xfId="17" applyFill="1" applyBorder="1" applyAlignment="1"/>
    <xf numFmtId="1" fontId="24" fillId="12" borderId="21" xfId="17" applyFill="1" applyBorder="1" applyAlignment="1"/>
    <xf numFmtId="1" fontId="24" fillId="12" borderId="21" xfId="17" applyFill="1" applyBorder="1" applyAlignment="1">
      <alignment horizontal="right"/>
    </xf>
    <xf numFmtId="1" fontId="24" fillId="0" borderId="21" xfId="17" applyBorder="1" applyAlignment="1">
      <alignment horizontal="right"/>
    </xf>
    <xf numFmtId="165" fontId="24" fillId="11" borderId="22" xfId="18" applyFill="1" applyBorder="1" applyProtection="1">
      <alignment horizontal="center" vertical="center"/>
      <protection locked="0"/>
    </xf>
    <xf numFmtId="1" fontId="24" fillId="0" borderId="23" xfId="17" applyBorder="1" applyAlignment="1"/>
    <xf numFmtId="1" fontId="24" fillId="12" borderId="23" xfId="17" applyFill="1" applyBorder="1">
      <alignment horizontal="center" vertical="center"/>
    </xf>
    <xf numFmtId="1" fontId="24" fillId="12" borderId="23" xfId="17" applyFill="1" applyBorder="1" applyAlignment="1"/>
    <xf numFmtId="1" fontId="24" fillId="12" borderId="23" xfId="17" applyFill="1" applyBorder="1" applyAlignment="1">
      <alignment horizontal="right"/>
    </xf>
    <xf numFmtId="165" fontId="24" fillId="12" borderId="23" xfId="18" applyFill="1" applyBorder="1" applyProtection="1">
      <alignment horizontal="center" vertical="center"/>
      <protection locked="0"/>
    </xf>
    <xf numFmtId="0" fontId="37" fillId="11" borderId="10" xfId="0" applyFont="1" applyFill="1" applyBorder="1" applyAlignment="1">
      <alignment horizontal="right"/>
    </xf>
    <xf numFmtId="1" fontId="24" fillId="12" borderId="20" xfId="17" applyFill="1" applyBorder="1">
      <alignment horizontal="center" vertical="center"/>
    </xf>
    <xf numFmtId="1" fontId="24" fillId="0" borderId="20" xfId="17" applyBorder="1" applyAlignment="1"/>
    <xf numFmtId="1" fontId="24" fillId="12" borderId="20" xfId="17" applyFill="1" applyBorder="1" applyAlignment="1">
      <alignment horizontal="right"/>
    </xf>
    <xf numFmtId="165" fontId="24" fillId="12" borderId="20" xfId="18" applyFill="1" applyBorder="1" applyProtection="1">
      <alignment horizontal="center" vertical="center"/>
      <protection locked="0"/>
    </xf>
    <xf numFmtId="1" fontId="24" fillId="12" borderId="24" xfId="17" applyFill="1" applyBorder="1">
      <alignment horizontal="center" vertical="center"/>
    </xf>
    <xf numFmtId="1" fontId="24" fillId="0" borderId="24" xfId="17" applyBorder="1" applyAlignment="1"/>
    <xf numFmtId="1" fontId="24" fillId="12" borderId="24" xfId="17" applyFill="1" applyBorder="1" applyAlignment="1"/>
    <xf numFmtId="1" fontId="24" fillId="12" borderId="24" xfId="17" applyFill="1" applyBorder="1" applyAlignment="1">
      <alignment horizontal="right"/>
    </xf>
    <xf numFmtId="165" fontId="24" fillId="12" borderId="24" xfId="18" applyFill="1" applyBorder="1" applyProtection="1">
      <alignment horizontal="center" vertical="center"/>
      <protection locked="0"/>
    </xf>
    <xf numFmtId="165" fontId="24" fillId="11" borderId="0" xfId="18" applyFill="1" applyProtection="1">
      <alignment horizontal="center" vertical="center"/>
      <protection locked="0"/>
    </xf>
    <xf numFmtId="0" fontId="36" fillId="22" borderId="0" xfId="0" applyFont="1" applyFill="1" applyAlignment="1">
      <alignment horizontal="left" vertical="center"/>
    </xf>
    <xf numFmtId="0" fontId="36" fillId="22" borderId="0" xfId="0" applyFont="1" applyFill="1" applyAlignment="1">
      <alignment horizontal="right" vertical="center"/>
    </xf>
    <xf numFmtId="0" fontId="36" fillId="0" borderId="29" xfId="22" applyFont="1">
      <alignment vertical="center"/>
    </xf>
    <xf numFmtId="0" fontId="53" fillId="8" borderId="0" xfId="1" applyProtection="1">
      <protection locked="0"/>
    </xf>
    <xf numFmtId="1" fontId="24" fillId="0" borderId="25" xfId="17" applyBorder="1" applyAlignment="1"/>
    <xf numFmtId="1" fontId="24" fillId="12" borderId="25" xfId="17" applyFill="1" applyBorder="1">
      <alignment horizontal="center" vertical="center"/>
    </xf>
    <xf numFmtId="1" fontId="24" fillId="12" borderId="25" xfId="17" applyFill="1" applyBorder="1" applyAlignment="1"/>
    <xf numFmtId="1" fontId="24" fillId="12" borderId="25" xfId="17" applyFill="1" applyBorder="1" applyAlignment="1">
      <alignment horizontal="right"/>
    </xf>
    <xf numFmtId="165" fontId="24" fillId="12" borderId="25" xfId="18" applyFill="1" applyBorder="1" applyProtection="1">
      <alignment horizontal="center" vertical="center"/>
      <protection locked="0"/>
    </xf>
    <xf numFmtId="0" fontId="43" fillId="0" borderId="0" xfId="0" applyFont="1"/>
    <xf numFmtId="0" fontId="0" fillId="0" borderId="0" xfId="0" applyAlignment="1">
      <alignment vertical="top" wrapText="1"/>
    </xf>
    <xf numFmtId="0" fontId="16" fillId="0" borderId="0" xfId="0" applyFont="1" applyAlignment="1">
      <alignment vertical="top" wrapText="1"/>
    </xf>
    <xf numFmtId="3" fontId="44" fillId="16" borderId="0" xfId="0" applyNumberFormat="1" applyFont="1" applyFill="1" applyAlignment="1">
      <alignment vertical="top"/>
    </xf>
    <xf numFmtId="3" fontId="44" fillId="16" borderId="0" xfId="0" applyNumberFormat="1" applyFont="1" applyFill="1" applyAlignment="1">
      <alignment vertical="center"/>
    </xf>
    <xf numFmtId="1" fontId="24" fillId="0" borderId="23" xfId="17" applyBorder="1" applyAlignment="1">
      <alignment horizontal="right"/>
    </xf>
    <xf numFmtId="165" fontId="24" fillId="11" borderId="26" xfId="18" applyFill="1" applyBorder="1" applyProtection="1">
      <alignment horizontal="center" vertical="center"/>
      <protection locked="0"/>
    </xf>
    <xf numFmtId="0" fontId="45" fillId="25" borderId="0" xfId="0" applyFont="1" applyFill="1" applyAlignment="1">
      <alignment horizontal="center" vertical="center"/>
    </xf>
    <xf numFmtId="0" fontId="46" fillId="24" borderId="0" xfId="0" applyFont="1" applyFill="1" applyAlignment="1">
      <alignment horizontal="center" vertical="center"/>
    </xf>
    <xf numFmtId="0" fontId="19" fillId="8" borderId="14" xfId="15" applyBorder="1" applyProtection="1">
      <alignment vertical="center"/>
      <protection locked="0"/>
    </xf>
    <xf numFmtId="165" fontId="24" fillId="11" borderId="0" xfId="18" applyFill="1">
      <alignment horizontal="center" vertical="center"/>
    </xf>
    <xf numFmtId="0" fontId="0" fillId="0" borderId="0" xfId="0" applyAlignment="1" applyProtection="1">
      <alignment horizontal="center" vertical="center"/>
      <protection locked="0"/>
    </xf>
    <xf numFmtId="0" fontId="0" fillId="0" borderId="19" xfId="0" applyBorder="1" applyProtection="1">
      <protection locked="0"/>
    </xf>
    <xf numFmtId="0" fontId="0" fillId="0" borderId="18" xfId="0" applyBorder="1" applyProtection="1">
      <protection locked="0"/>
    </xf>
    <xf numFmtId="0" fontId="32" fillId="19" borderId="0" xfId="0" applyFont="1" applyFill="1" applyAlignment="1">
      <alignment horizontal="center"/>
    </xf>
    <xf numFmtId="1" fontId="32" fillId="18" borderId="16" xfId="16" applyFont="1" applyFill="1" applyBorder="1" applyAlignment="1">
      <alignment horizontal="center"/>
    </xf>
    <xf numFmtId="0" fontId="36" fillId="0" borderId="29" xfId="22" applyFont="1" applyAlignment="1">
      <alignment horizontal="center" vertical="center"/>
    </xf>
    <xf numFmtId="169" fontId="32" fillId="22" borderId="16" xfId="16" applyNumberFormat="1" applyFont="1" applyFill="1" applyBorder="1" applyAlignment="1">
      <alignment horizontal="center"/>
    </xf>
    <xf numFmtId="2" fontId="32" fillId="22" borderId="16" xfId="16" applyNumberFormat="1" applyFont="1" applyFill="1" applyBorder="1" applyAlignment="1">
      <alignment horizontal="center"/>
    </xf>
    <xf numFmtId="0" fontId="49" fillId="19" borderId="0" xfId="0" applyFont="1" applyFill="1" applyAlignment="1">
      <alignment horizontal="center"/>
    </xf>
    <xf numFmtId="0" fontId="32" fillId="27" borderId="0" xfId="0" applyFont="1" applyFill="1" applyAlignment="1">
      <alignment horizontal="center"/>
    </xf>
    <xf numFmtId="0" fontId="47" fillId="16" borderId="0" xfId="0" applyFont="1" applyFill="1" applyAlignment="1">
      <alignment horizontal="center"/>
    </xf>
    <xf numFmtId="0" fontId="0" fillId="10" borderId="27" xfId="0" applyFill="1" applyBorder="1"/>
    <xf numFmtId="1" fontId="16" fillId="18" borderId="28" xfId="16" applyFont="1" applyFill="1" applyBorder="1" applyAlignment="1">
      <alignment horizontal="center"/>
    </xf>
    <xf numFmtId="1" fontId="32" fillId="22" borderId="16" xfId="16" applyFont="1" applyFill="1" applyBorder="1" applyAlignment="1">
      <alignment horizontal="center"/>
    </xf>
    <xf numFmtId="0" fontId="31" fillId="16" borderId="0" xfId="2" applyFont="1" applyFill="1">
      <alignment vertical="center"/>
    </xf>
    <xf numFmtId="0" fontId="30" fillId="15" borderId="0" xfId="2">
      <alignment vertical="center"/>
    </xf>
    <xf numFmtId="0" fontId="56" fillId="0" borderId="0" xfId="0" applyFont="1"/>
    <xf numFmtId="0" fontId="48" fillId="26" borderId="0" xfId="0" applyFont="1" applyFill="1" applyAlignment="1">
      <alignment vertical="center"/>
    </xf>
    <xf numFmtId="0" fontId="0" fillId="0" borderId="31" xfId="0" applyBorder="1"/>
    <xf numFmtId="0" fontId="50" fillId="0" borderId="31" xfId="0" applyFont="1" applyBorder="1"/>
    <xf numFmtId="0" fontId="0" fillId="52" borderId="0" xfId="0" applyFill="1" applyAlignment="1">
      <alignment horizontal="center" vertical="center"/>
    </xf>
    <xf numFmtId="0" fontId="0" fillId="0" borderId="31" xfId="0" applyBorder="1" applyAlignment="1">
      <alignment horizontal="center"/>
    </xf>
    <xf numFmtId="0" fontId="50" fillId="0" borderId="31" xfId="0" applyFont="1" applyBorder="1" applyAlignment="1">
      <alignment horizontal="center"/>
    </xf>
    <xf numFmtId="0" fontId="0" fillId="53" borderId="0" xfId="0" applyFill="1"/>
    <xf numFmtId="0" fontId="48" fillId="53" borderId="0" xfId="0" applyFont="1" applyFill="1"/>
    <xf numFmtId="0" fontId="51" fillId="0" borderId="29" xfId="22" applyAlignment="1" applyProtection="1">
      <alignment horizontal="center" vertical="center"/>
      <protection locked="0"/>
    </xf>
    <xf numFmtId="167" fontId="51" fillId="0" borderId="29" xfId="22" applyNumberFormat="1" applyAlignment="1" applyProtection="1">
      <alignment horizontal="center" vertical="center"/>
      <protection locked="0"/>
    </xf>
    <xf numFmtId="0" fontId="57" fillId="8" borderId="32" xfId="15" applyFont="1" applyBorder="1">
      <alignment vertical="center"/>
    </xf>
    <xf numFmtId="0" fontId="57" fillId="0" borderId="32" xfId="0" applyFont="1" applyBorder="1" applyAlignment="1">
      <alignment vertical="center"/>
    </xf>
    <xf numFmtId="1" fontId="21" fillId="0" borderId="32" xfId="16" applyBorder="1" applyAlignment="1">
      <alignment horizontal="center"/>
    </xf>
    <xf numFmtId="0" fontId="19" fillId="8" borderId="32" xfId="15" applyBorder="1">
      <alignment vertical="center"/>
    </xf>
    <xf numFmtId="166" fontId="24" fillId="0" borderId="32" xfId="19" applyBorder="1" applyAlignment="1" applyProtection="1">
      <alignment horizontal="center"/>
      <protection locked="0"/>
    </xf>
    <xf numFmtId="0" fontId="19" fillId="8" borderId="33" xfId="15" applyBorder="1">
      <alignment vertical="center"/>
    </xf>
    <xf numFmtId="166" fontId="24" fillId="0" borderId="33" xfId="19" applyBorder="1" applyAlignment="1" applyProtection="1">
      <alignment horizontal="center"/>
      <protection locked="0"/>
    </xf>
    <xf numFmtId="1" fontId="21" fillId="0" borderId="33" xfId="16" applyBorder="1" applyAlignment="1">
      <alignment horizontal="center"/>
    </xf>
    <xf numFmtId="0" fontId="57" fillId="8" borderId="32" xfId="15" applyFont="1" applyBorder="1" applyAlignment="1">
      <alignment horizontal="center" vertical="center"/>
    </xf>
    <xf numFmtId="0" fontId="23" fillId="28" borderId="0" xfId="0" applyFont="1" applyFill="1" applyAlignment="1">
      <alignment horizontal="center" vertical="center"/>
    </xf>
    <xf numFmtId="0" fontId="23" fillId="28" borderId="0" xfId="0" applyFont="1" applyFill="1" applyAlignment="1">
      <alignment vertical="center"/>
    </xf>
    <xf numFmtId="0" fontId="58" fillId="28" borderId="0" xfId="0" applyFont="1" applyFill="1" applyAlignment="1">
      <alignment horizontal="center" vertical="center"/>
    </xf>
    <xf numFmtId="0" fontId="26" fillId="28" borderId="0" xfId="0" applyFont="1" applyFill="1" applyAlignment="1">
      <alignment horizontal="center" vertical="center"/>
    </xf>
    <xf numFmtId="0" fontId="0" fillId="0" borderId="34" xfId="0" applyBorder="1" applyProtection="1">
      <protection locked="0"/>
    </xf>
    <xf numFmtId="0" fontId="0" fillId="0" borderId="17" xfId="0" applyBorder="1" applyProtection="1">
      <protection locked="0"/>
    </xf>
    <xf numFmtId="165" fontId="24" fillId="0" borderId="35" xfId="18" applyBorder="1" applyProtection="1">
      <alignment horizontal="center" vertical="center"/>
      <protection locked="0"/>
    </xf>
    <xf numFmtId="165" fontId="24" fillId="0" borderId="37" xfId="18" applyBorder="1" applyProtection="1">
      <alignment horizontal="center" vertical="center"/>
      <protection locked="0"/>
    </xf>
    <xf numFmtId="165" fontId="24" fillId="0" borderId="39" xfId="18" applyBorder="1" applyProtection="1">
      <alignment horizontal="center" vertical="center"/>
      <protection locked="0"/>
    </xf>
    <xf numFmtId="166" fontId="24" fillId="0" borderId="40" xfId="19" applyBorder="1" applyAlignment="1" applyProtection="1">
      <alignment horizontal="center"/>
      <protection locked="0"/>
    </xf>
    <xf numFmtId="0" fontId="23" fillId="9" borderId="0" xfId="0" applyFont="1" applyFill="1" applyAlignment="1">
      <alignment horizontal="center" vertical="center"/>
    </xf>
    <xf numFmtId="0" fontId="23" fillId="9" borderId="0" xfId="0" applyFont="1" applyFill="1" applyAlignment="1">
      <alignment horizontal="left" vertical="center"/>
    </xf>
    <xf numFmtId="0" fontId="23" fillId="9" borderId="0" xfId="0" applyFont="1" applyFill="1" applyAlignment="1">
      <alignment horizontal="right" vertical="center"/>
    </xf>
    <xf numFmtId="165" fontId="24" fillId="0" borderId="41" xfId="18" applyBorder="1" applyProtection="1">
      <alignment horizontal="center" vertical="center"/>
      <protection locked="0"/>
    </xf>
    <xf numFmtId="166" fontId="24" fillId="0" borderId="42" xfId="19" applyBorder="1" applyAlignment="1" applyProtection="1">
      <alignment horizontal="center"/>
      <protection locked="0"/>
    </xf>
    <xf numFmtId="1" fontId="21" fillId="0" borderId="43" xfId="16" applyBorder="1" applyAlignment="1">
      <alignment horizontal="center"/>
    </xf>
    <xf numFmtId="1" fontId="25" fillId="0" borderId="43" xfId="16" applyFont="1" applyBorder="1" applyAlignment="1">
      <alignment horizontal="center"/>
    </xf>
    <xf numFmtId="168" fontId="0" fillId="54" borderId="0" xfId="0" applyNumberFormat="1" applyFill="1" applyAlignment="1" applyProtection="1">
      <alignment horizontal="center"/>
      <protection locked="0"/>
    </xf>
    <xf numFmtId="1" fontId="24" fillId="0" borderId="45" xfId="17" applyBorder="1" applyAlignment="1" applyProtection="1">
      <alignment horizontal="center"/>
      <protection locked="0"/>
    </xf>
    <xf numFmtId="1" fontId="25" fillId="0" borderId="44" xfId="18" applyNumberFormat="1" applyFont="1" applyBorder="1" applyProtection="1">
      <alignment horizontal="center" vertical="center"/>
      <protection locked="0"/>
    </xf>
    <xf numFmtId="1" fontId="25" fillId="0" borderId="36" xfId="18" applyNumberFormat="1" applyFont="1" applyBorder="1" applyProtection="1">
      <alignment horizontal="center" vertical="center"/>
      <protection locked="0"/>
    </xf>
    <xf numFmtId="1" fontId="24" fillId="0" borderId="46" xfId="17" applyBorder="1" applyAlignment="1" applyProtection="1">
      <alignment horizontal="center"/>
      <protection locked="0"/>
    </xf>
    <xf numFmtId="1" fontId="25" fillId="0" borderId="47" xfId="18" applyNumberFormat="1" applyFont="1" applyBorder="1" applyProtection="1">
      <alignment horizontal="center" vertical="center"/>
      <protection locked="0"/>
    </xf>
    <xf numFmtId="1" fontId="25" fillId="0" borderId="38" xfId="18" applyNumberFormat="1" applyFont="1" applyBorder="1" applyProtection="1">
      <alignment horizontal="center" vertical="center"/>
      <protection locked="0"/>
    </xf>
    <xf numFmtId="1" fontId="24" fillId="0" borderId="48" xfId="17" applyBorder="1" applyAlignment="1" applyProtection="1">
      <alignment horizontal="center"/>
      <protection locked="0"/>
    </xf>
    <xf numFmtId="1" fontId="25" fillId="0" borderId="49" xfId="18" applyNumberFormat="1" applyFont="1" applyBorder="1" applyProtection="1">
      <alignment horizontal="center" vertical="center"/>
      <protection locked="0"/>
    </xf>
    <xf numFmtId="1" fontId="25" fillId="0" borderId="50" xfId="18" applyNumberFormat="1" applyFont="1" applyBorder="1" applyProtection="1">
      <alignment horizontal="center" vertical="center"/>
      <protection locked="0"/>
    </xf>
    <xf numFmtId="1" fontId="24" fillId="0" borderId="51" xfId="17" applyBorder="1" applyAlignment="1" applyProtection="1">
      <alignment horizontal="center"/>
      <protection locked="0"/>
    </xf>
    <xf numFmtId="1" fontId="25" fillId="0" borderId="52" xfId="18" applyNumberFormat="1" applyFont="1" applyBorder="1" applyProtection="1">
      <alignment horizontal="center" vertical="center"/>
      <protection locked="0"/>
    </xf>
    <xf numFmtId="1" fontId="25" fillId="0" borderId="53" xfId="18" applyNumberFormat="1" applyFont="1" applyBorder="1" applyProtection="1">
      <alignment horizontal="center" vertical="center"/>
      <protection locked="0"/>
    </xf>
    <xf numFmtId="0" fontId="59" fillId="18" borderId="0" xfId="0" applyFont="1" applyFill="1" applyAlignment="1">
      <alignment horizontal="center"/>
    </xf>
    <xf numFmtId="0" fontId="59" fillId="18" borderId="0" xfId="0" applyFont="1" applyFill="1" applyAlignment="1">
      <alignment horizontal="center" vertical="center"/>
    </xf>
    <xf numFmtId="0" fontId="19" fillId="8" borderId="54" xfId="15" applyBorder="1">
      <alignment vertical="center"/>
    </xf>
    <xf numFmtId="165" fontId="24" fillId="0" borderId="55" xfId="18" applyBorder="1" applyProtection="1">
      <alignment horizontal="center" vertical="center"/>
      <protection locked="0"/>
    </xf>
    <xf numFmtId="166" fontId="24" fillId="0" borderId="54" xfId="19" applyBorder="1" applyAlignment="1" applyProtection="1">
      <alignment horizontal="center"/>
      <protection locked="0"/>
    </xf>
    <xf numFmtId="1" fontId="24" fillId="0" borderId="56" xfId="17" applyBorder="1" applyAlignment="1" applyProtection="1">
      <alignment horizontal="center"/>
      <protection locked="0"/>
    </xf>
    <xf numFmtId="1" fontId="25" fillId="0" borderId="57" xfId="18" applyNumberFormat="1" applyFont="1" applyBorder="1" applyProtection="1">
      <alignment horizontal="center" vertical="center"/>
      <protection locked="0"/>
    </xf>
    <xf numFmtId="1" fontId="25" fillId="0" borderId="58" xfId="18" applyNumberFormat="1" applyFont="1" applyBorder="1" applyProtection="1">
      <alignment horizontal="center" vertical="center"/>
      <protection locked="0"/>
    </xf>
    <xf numFmtId="1" fontId="21" fillId="0" borderId="54" xfId="16" applyBorder="1" applyAlignment="1">
      <alignment horizontal="center"/>
    </xf>
    <xf numFmtId="0" fontId="19" fillId="8" borderId="59" xfId="15" applyBorder="1">
      <alignment vertical="center"/>
    </xf>
    <xf numFmtId="165" fontId="24" fillId="0" borderId="60" xfId="18" applyBorder="1" applyProtection="1">
      <alignment horizontal="center" vertical="center"/>
      <protection locked="0"/>
    </xf>
    <xf numFmtId="166" fontId="24" fillId="0" borderId="59" xfId="19" applyBorder="1" applyAlignment="1" applyProtection="1">
      <alignment horizontal="center"/>
      <protection locked="0"/>
    </xf>
    <xf numFmtId="1" fontId="24" fillId="0" borderId="61" xfId="17" applyBorder="1" applyAlignment="1" applyProtection="1">
      <alignment horizontal="center"/>
      <protection locked="0"/>
    </xf>
    <xf numFmtId="1" fontId="25" fillId="0" borderId="62" xfId="18" applyNumberFormat="1" applyFont="1" applyBorder="1" applyProtection="1">
      <alignment horizontal="center" vertical="center"/>
      <protection locked="0"/>
    </xf>
    <xf numFmtId="1" fontId="25" fillId="0" borderId="63" xfId="18" applyNumberFormat="1" applyFont="1" applyBorder="1" applyProtection="1">
      <alignment horizontal="center" vertical="center"/>
      <protection locked="0"/>
    </xf>
    <xf numFmtId="1" fontId="21" fillId="0" borderId="59" xfId="16" applyBorder="1" applyAlignment="1">
      <alignment horizontal="center"/>
    </xf>
    <xf numFmtId="165" fontId="24" fillId="0" borderId="64" xfId="18" applyBorder="1" applyProtection="1">
      <alignment horizontal="center" vertical="center"/>
      <protection locked="0"/>
    </xf>
    <xf numFmtId="166" fontId="24" fillId="0" borderId="65" xfId="19" applyBorder="1" applyAlignment="1" applyProtection="1">
      <alignment horizontal="center"/>
      <protection locked="0"/>
    </xf>
    <xf numFmtId="1" fontId="24" fillId="0" borderId="66" xfId="17" applyBorder="1" applyAlignment="1" applyProtection="1">
      <alignment horizontal="center"/>
      <protection locked="0"/>
    </xf>
    <xf numFmtId="1" fontId="25" fillId="0" borderId="67" xfId="18" applyNumberFormat="1" applyFont="1" applyBorder="1" applyProtection="1">
      <alignment horizontal="center" vertical="center"/>
      <protection locked="0"/>
    </xf>
    <xf numFmtId="1" fontId="25" fillId="0" borderId="68" xfId="18" applyNumberFormat="1" applyFont="1" applyBorder="1" applyProtection="1">
      <alignment horizontal="center" vertical="center"/>
      <protection locked="0"/>
    </xf>
    <xf numFmtId="0" fontId="59" fillId="18" borderId="69" xfId="0" applyFont="1" applyFill="1" applyBorder="1" applyAlignment="1">
      <alignment horizontal="center"/>
    </xf>
    <xf numFmtId="0" fontId="59" fillId="18" borderId="69" xfId="0" applyFont="1" applyFill="1" applyBorder="1" applyAlignment="1">
      <alignment horizontal="center" vertical="center"/>
    </xf>
    <xf numFmtId="0" fontId="32" fillId="17" borderId="0" xfId="0" applyFont="1" applyFill="1" applyAlignment="1">
      <alignment horizontal="left" indent="18"/>
    </xf>
    <xf numFmtId="0" fontId="32" fillId="17" borderId="0" xfId="0" applyFont="1" applyFill="1" applyAlignment="1">
      <alignment horizontal="left" indent="12"/>
    </xf>
    <xf numFmtId="0" fontId="0" fillId="23" borderId="0" xfId="0" applyFill="1"/>
    <xf numFmtId="0" fontId="0" fillId="0" borderId="0" xfId="0" applyFont="1"/>
    <xf numFmtId="1" fontId="25" fillId="0" borderId="17" xfId="16" applyFont="1" applyBorder="1" applyAlignment="1" applyProtection="1">
      <alignment horizontal="center"/>
      <protection locked="0"/>
    </xf>
    <xf numFmtId="0" fontId="19" fillId="8" borderId="70" xfId="15" applyBorder="1">
      <alignment vertical="center"/>
    </xf>
    <xf numFmtId="165" fontId="24" fillId="0" borderId="71" xfId="18" applyBorder="1" applyProtection="1">
      <alignment horizontal="center" vertical="center"/>
      <protection locked="0"/>
    </xf>
    <xf numFmtId="166" fontId="24" fillId="0" borderId="72" xfId="19" applyBorder="1" applyAlignment="1" applyProtection="1">
      <alignment horizontal="center"/>
      <protection locked="0"/>
    </xf>
    <xf numFmtId="1" fontId="24" fillId="0" borderId="73" xfId="17" applyBorder="1" applyAlignment="1" applyProtection="1">
      <alignment horizontal="center"/>
      <protection locked="0"/>
    </xf>
    <xf numFmtId="1" fontId="25" fillId="0" borderId="74" xfId="18" applyNumberFormat="1" applyFont="1" applyBorder="1" applyProtection="1">
      <alignment horizontal="center" vertical="center"/>
      <protection locked="0"/>
    </xf>
    <xf numFmtId="1" fontId="25" fillId="0" borderId="75" xfId="18" applyNumberFormat="1" applyFont="1" applyBorder="1" applyProtection="1">
      <alignment horizontal="center" vertical="center"/>
      <protection locked="0"/>
    </xf>
    <xf numFmtId="1" fontId="21" fillId="0" borderId="70" xfId="16" applyBorder="1" applyAlignment="1">
      <alignment horizontal="center"/>
    </xf>
    <xf numFmtId="0" fontId="19" fillId="8" borderId="76" xfId="15" applyBorder="1">
      <alignment vertical="center"/>
    </xf>
    <xf numFmtId="165" fontId="24" fillId="0" borderId="77" xfId="18" applyBorder="1" applyProtection="1">
      <alignment horizontal="center" vertical="center"/>
      <protection locked="0"/>
    </xf>
    <xf numFmtId="166" fontId="24" fillId="0" borderId="76" xfId="19" applyBorder="1" applyAlignment="1" applyProtection="1">
      <alignment horizontal="center"/>
      <protection locked="0"/>
    </xf>
    <xf numFmtId="1" fontId="24" fillId="0" borderId="78" xfId="17" applyBorder="1" applyAlignment="1" applyProtection="1">
      <alignment horizontal="center"/>
      <protection locked="0"/>
    </xf>
    <xf numFmtId="1" fontId="25" fillId="0" borderId="79" xfId="18" applyNumberFormat="1" applyFont="1" applyBorder="1" applyProtection="1">
      <alignment horizontal="center" vertical="center"/>
      <protection locked="0"/>
    </xf>
    <xf numFmtId="1" fontId="25" fillId="0" borderId="80" xfId="18" applyNumberFormat="1" applyFont="1" applyBorder="1" applyProtection="1">
      <alignment horizontal="center" vertical="center"/>
      <protection locked="0"/>
    </xf>
    <xf numFmtId="1" fontId="21" fillId="0" borderId="76" xfId="16" applyBorder="1" applyAlignment="1">
      <alignment horizontal="center"/>
    </xf>
    <xf numFmtId="0" fontId="19" fillId="8" borderId="81" xfId="15" applyBorder="1">
      <alignment vertical="center"/>
    </xf>
    <xf numFmtId="165" fontId="24" fillId="0" borderId="82" xfId="18" applyBorder="1" applyProtection="1">
      <alignment horizontal="center" vertical="center"/>
      <protection locked="0"/>
    </xf>
    <xf numFmtId="166" fontId="24" fillId="0" borderId="81" xfId="19" applyBorder="1" applyAlignment="1" applyProtection="1">
      <alignment horizontal="center"/>
      <protection locked="0"/>
    </xf>
    <xf numFmtId="1" fontId="24" fillId="0" borderId="83" xfId="17" applyBorder="1" applyAlignment="1" applyProtection="1">
      <alignment horizontal="center"/>
      <protection locked="0"/>
    </xf>
    <xf numFmtId="1" fontId="25" fillId="0" borderId="84" xfId="18" applyNumberFormat="1" applyFont="1" applyBorder="1" applyProtection="1">
      <alignment horizontal="center" vertical="center"/>
      <protection locked="0"/>
    </xf>
    <xf numFmtId="1" fontId="25" fillId="0" borderId="85" xfId="18" applyNumberFormat="1" applyFont="1" applyBorder="1" applyProtection="1">
      <alignment horizontal="center" vertical="center"/>
      <protection locked="0"/>
    </xf>
    <xf numFmtId="1" fontId="21" fillId="0" borderId="81" xfId="16" applyBorder="1" applyAlignment="1">
      <alignment horizontal="center"/>
    </xf>
    <xf numFmtId="0" fontId="19" fillId="8" borderId="86" xfId="15" applyBorder="1">
      <alignment vertical="center"/>
    </xf>
    <xf numFmtId="165" fontId="24" fillId="0" borderId="87" xfId="18" applyBorder="1" applyProtection="1">
      <alignment horizontal="center" vertical="center"/>
      <protection locked="0"/>
    </xf>
    <xf numFmtId="166" fontId="24" fillId="0" borderId="86" xfId="19" applyBorder="1" applyAlignment="1" applyProtection="1">
      <alignment horizontal="center"/>
      <protection locked="0"/>
    </xf>
    <xf numFmtId="1" fontId="24" fillId="0" borderId="88" xfId="17" applyBorder="1" applyAlignment="1" applyProtection="1">
      <alignment horizontal="center"/>
      <protection locked="0"/>
    </xf>
    <xf numFmtId="1" fontId="25" fillId="0" borderId="89" xfId="18" applyNumberFormat="1" applyFont="1" applyBorder="1" applyProtection="1">
      <alignment horizontal="center" vertical="center"/>
      <protection locked="0"/>
    </xf>
    <xf numFmtId="1" fontId="25" fillId="0" borderId="90" xfId="18" applyNumberFormat="1" applyFont="1" applyBorder="1" applyProtection="1">
      <alignment horizontal="center" vertical="center"/>
      <protection locked="0"/>
    </xf>
    <xf numFmtId="1" fontId="21" fillId="0" borderId="86" xfId="16" applyBorder="1" applyAlignment="1">
      <alignment horizontal="center"/>
    </xf>
    <xf numFmtId="0" fontId="32" fillId="17" borderId="0" xfId="0" applyFont="1" applyFill="1" applyAlignment="1">
      <alignment horizontal="left" indent="10"/>
    </xf>
    <xf numFmtId="0" fontId="35" fillId="17" borderId="0" xfId="20" applyFill="1"/>
    <xf numFmtId="0" fontId="51" fillId="0" borderId="29" xfId="22" applyProtection="1">
      <alignment vertical="center"/>
      <protection locked="0"/>
    </xf>
    <xf numFmtId="0" fontId="30" fillId="15" borderId="0" xfId="2" applyAlignment="1">
      <alignment horizontal="center" vertical="center"/>
    </xf>
    <xf numFmtId="0" fontId="51" fillId="0" borderId="29" xfId="22" applyProtection="1">
      <alignment vertical="center"/>
      <protection locked="0"/>
    </xf>
    <xf numFmtId="0" fontId="0" fillId="0" borderId="0" xfId="0" applyAlignment="1">
      <alignment vertical="top" wrapText="1"/>
    </xf>
    <xf numFmtId="0" fontId="42" fillId="22" borderId="0" xfId="0" applyFont="1" applyFill="1" applyAlignment="1">
      <alignment horizontal="center" vertical="center"/>
    </xf>
    <xf numFmtId="0" fontId="39" fillId="16" borderId="0" xfId="0" applyFont="1" applyFill="1" applyAlignment="1">
      <alignment horizontal="center" vertical="center" wrapText="1"/>
    </xf>
  </cellXfs>
  <cellStyles count="48">
    <cellStyle name="20 % - Farve1" xfId="26" builtinId="30" hidden="1"/>
    <cellStyle name="20 % - Farve2" xfId="30" builtinId="34" hidden="1"/>
    <cellStyle name="20 % - Farve3" xfId="34" builtinId="38" hidden="1"/>
    <cellStyle name="20 % - Farve4" xfId="38" builtinId="42" hidden="1"/>
    <cellStyle name="20 % - Farve5" xfId="42" builtinId="46" hidden="1"/>
    <cellStyle name="20 % - Farve6" xfId="21" builtinId="50" hidden="1"/>
    <cellStyle name="40 % - Farve1" xfId="27" builtinId="31" hidden="1"/>
    <cellStyle name="40 % - Farve2" xfId="31" builtinId="35" hidden="1"/>
    <cellStyle name="40 % - Farve3" xfId="35" builtinId="39" hidden="1"/>
    <cellStyle name="40 % - Farve4" xfId="39" builtinId="43" hidden="1"/>
    <cellStyle name="40 % - Farve5" xfId="43" builtinId="47" hidden="1"/>
    <cellStyle name="40 % - Farve6" xfId="46" builtinId="51" hidden="1"/>
    <cellStyle name="60 % - Farve1" xfId="28" builtinId="32" hidden="1"/>
    <cellStyle name="60 % - Farve2" xfId="32" builtinId="36" hidden="1"/>
    <cellStyle name="60 % - Farve3" xfId="36" builtinId="40" hidden="1"/>
    <cellStyle name="60 % - Farve4" xfId="40" builtinId="44" hidden="1"/>
    <cellStyle name="60 % - Farve5" xfId="44" builtinId="48" hidden="1"/>
    <cellStyle name="60 % - Farve6" xfId="47" builtinId="52" hidden="1"/>
    <cellStyle name="Advarselstekst" xfId="12" builtinId="11" hidden="1"/>
    <cellStyle name="Bemærk!" xfId="13" builtinId="10" hidden="1"/>
    <cellStyle name="Beregning" xfId="9" builtinId="22" hidden="1"/>
    <cellStyle name="Dato" xfId="18" xr:uid="{00000000-0005-0000-0000-000004000000}"/>
    <cellStyle name="Farve1" xfId="25" builtinId="29" customBuiltin="1"/>
    <cellStyle name="Farve2" xfId="29" builtinId="33" customBuiltin="1"/>
    <cellStyle name="Farve3" xfId="33" builtinId="37" customBuiltin="1"/>
    <cellStyle name="Farve4" xfId="37" builtinId="41" customBuiltin="1"/>
    <cellStyle name="Farve5" xfId="41" builtinId="45" customBuiltin="1"/>
    <cellStyle name="Farve6" xfId="45" builtinId="49" customBuiltin="1"/>
    <cellStyle name="Forklarende tekst" xfId="14" builtinId="53" hidden="1"/>
    <cellStyle name="God" xfId="5" builtinId="26" hidden="1"/>
    <cellStyle name="Input" xfId="22" builtinId="20" customBuiltin="1"/>
    <cellStyle name="Kontrollér celle" xfId="11" builtinId="23" hidden="1"/>
    <cellStyle name="Link" xfId="20" builtinId="8"/>
    <cellStyle name="Neutral" xfId="7" builtinId="28" hidden="1"/>
    <cellStyle name="Normal" xfId="0" builtinId="0" customBuiltin="1"/>
    <cellStyle name="Output" xfId="8" builtinId="21" hidden="1"/>
    <cellStyle name="Overskrift 1" xfId="1" builtinId="16" customBuiltin="1"/>
    <cellStyle name="Overskrift 2" xfId="2" builtinId="17" customBuiltin="1"/>
    <cellStyle name="Overskrift 3" xfId="3" builtinId="18" customBuiltin="1"/>
    <cellStyle name="Overskrift 4" xfId="4" builtinId="19" customBuiltin="1"/>
    <cellStyle name="prgTekst" xfId="15" xr:uid="{00000000-0005-0000-0000-000012000000}"/>
    <cellStyle name="Sammenkædet celle" xfId="10" builtinId="24" hidden="1"/>
    <cellStyle name="Tal" xfId="17" xr:uid="{00000000-0005-0000-0000-000014000000}"/>
    <cellStyle name="Tal-stor" xfId="16" xr:uid="{00000000-0005-0000-0000-000015000000}"/>
    <cellStyle name="Tid" xfId="19" xr:uid="{00000000-0005-0000-0000-000016000000}"/>
    <cellStyle name="Titel" xfId="23" builtinId="15" customBuiltin="1"/>
    <cellStyle name="Total" xfId="24" builtinId="25" customBuiltin="1"/>
    <cellStyle name="Ugyldig" xfId="6" builtinId="27" hidden="1"/>
  </cellStyles>
  <dxfs count="121">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6"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6"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93D21"/>
      <color rgb="FF674727"/>
      <color rgb="FFBB844C"/>
      <color rgb="FF785E1E"/>
      <color rgb="FFD3AE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1</xdr:row>
      <xdr:rowOff>193675</xdr:rowOff>
    </xdr:from>
    <xdr:to>
      <xdr:col>1</xdr:col>
      <xdr:colOff>1811241</xdr:colOff>
      <xdr:row>1</xdr:row>
      <xdr:rowOff>517572</xdr:rowOff>
    </xdr:to>
    <xdr:pic>
      <xdr:nvPicPr>
        <xdr:cNvPr id="11" name="Billed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25" y="355600"/>
          <a:ext cx="1581371" cy="333422"/>
        </a:xfrm>
        <a:prstGeom prst="rect">
          <a:avLst/>
        </a:prstGeom>
      </xdr:spPr>
    </xdr:pic>
    <xdr:clientData/>
  </xdr:twoCellAnchor>
  <xdr:twoCellAnchor editAs="oneCell">
    <xdr:from>
      <xdr:col>1</xdr:col>
      <xdr:colOff>0</xdr:colOff>
      <xdr:row>11</xdr:row>
      <xdr:rowOff>0</xdr:rowOff>
    </xdr:from>
    <xdr:to>
      <xdr:col>1</xdr:col>
      <xdr:colOff>1333616</xdr:colOff>
      <xdr:row>19</xdr:row>
      <xdr:rowOff>91560</xdr:rowOff>
    </xdr:to>
    <xdr:pic>
      <xdr:nvPicPr>
        <xdr:cNvPr id="6" name="Billede 5">
          <a:extLst>
            <a:ext uri="{FF2B5EF4-FFF2-40B4-BE49-F238E27FC236}">
              <a16:creationId xmlns:a16="http://schemas.microsoft.com/office/drawing/2014/main" id="{265D2F2D-A7D3-4584-87C6-4801FE05A882}"/>
            </a:ext>
          </a:extLst>
        </xdr:cNvPr>
        <xdr:cNvPicPr>
          <a:picLocks noChangeAspect="1"/>
        </xdr:cNvPicPr>
      </xdr:nvPicPr>
      <xdr:blipFill>
        <a:blip xmlns:r="http://schemas.openxmlformats.org/officeDocument/2006/relationships" r:embed="rId2"/>
        <a:stretch>
          <a:fillRect/>
        </a:stretch>
      </xdr:blipFill>
      <xdr:spPr>
        <a:xfrm>
          <a:off x="365760" y="2453640"/>
          <a:ext cx="1333616" cy="1379340"/>
        </a:xfrm>
        <a:prstGeom prst="rect">
          <a:avLst/>
        </a:prstGeom>
      </xdr:spPr>
    </xdr:pic>
    <xdr:clientData/>
  </xdr:twoCellAnchor>
  <xdr:twoCellAnchor editAs="oneCell">
    <xdr:from>
      <xdr:col>1</xdr:col>
      <xdr:colOff>0</xdr:colOff>
      <xdr:row>39</xdr:row>
      <xdr:rowOff>1</xdr:rowOff>
    </xdr:from>
    <xdr:to>
      <xdr:col>2</xdr:col>
      <xdr:colOff>2038350</xdr:colOff>
      <xdr:row>44</xdr:row>
      <xdr:rowOff>57699</xdr:rowOff>
    </xdr:to>
    <xdr:pic>
      <xdr:nvPicPr>
        <xdr:cNvPr id="18" name="Billede 17">
          <a:extLst>
            <a:ext uri="{FF2B5EF4-FFF2-40B4-BE49-F238E27FC236}">
              <a16:creationId xmlns:a16="http://schemas.microsoft.com/office/drawing/2014/main" id="{891C6BF5-2643-4091-AB3E-7AC9B979C112}"/>
            </a:ext>
          </a:extLst>
        </xdr:cNvPr>
        <xdr:cNvPicPr>
          <a:picLocks noChangeAspect="1"/>
        </xdr:cNvPicPr>
      </xdr:nvPicPr>
      <xdr:blipFill>
        <a:blip xmlns:r="http://schemas.openxmlformats.org/officeDocument/2006/relationships" r:embed="rId3"/>
        <a:stretch>
          <a:fillRect/>
        </a:stretch>
      </xdr:blipFill>
      <xdr:spPr>
        <a:xfrm>
          <a:off x="365760" y="7482841"/>
          <a:ext cx="4579620" cy="842558"/>
        </a:xfrm>
        <a:prstGeom prst="rect">
          <a:avLst/>
        </a:prstGeom>
      </xdr:spPr>
    </xdr:pic>
    <xdr:clientData/>
  </xdr:twoCellAnchor>
  <xdr:twoCellAnchor editAs="oneCell">
    <xdr:from>
      <xdr:col>1</xdr:col>
      <xdr:colOff>0</xdr:colOff>
      <xdr:row>45</xdr:row>
      <xdr:rowOff>0</xdr:rowOff>
    </xdr:from>
    <xdr:to>
      <xdr:col>2</xdr:col>
      <xdr:colOff>2534090</xdr:colOff>
      <xdr:row>48</xdr:row>
      <xdr:rowOff>15284</xdr:rowOff>
    </xdr:to>
    <xdr:pic>
      <xdr:nvPicPr>
        <xdr:cNvPr id="19" name="Billede 18">
          <a:extLst>
            <a:ext uri="{FF2B5EF4-FFF2-40B4-BE49-F238E27FC236}">
              <a16:creationId xmlns:a16="http://schemas.microsoft.com/office/drawing/2014/main" id="{4663350A-24DD-4845-A2D3-38E8C0AFBA4D}"/>
            </a:ext>
          </a:extLst>
        </xdr:cNvPr>
        <xdr:cNvPicPr>
          <a:picLocks noChangeAspect="1"/>
        </xdr:cNvPicPr>
      </xdr:nvPicPr>
      <xdr:blipFill>
        <a:blip xmlns:r="http://schemas.openxmlformats.org/officeDocument/2006/relationships" r:embed="rId4"/>
        <a:stretch>
          <a:fillRect/>
        </a:stretch>
      </xdr:blipFill>
      <xdr:spPr>
        <a:xfrm>
          <a:off x="365760" y="8442960"/>
          <a:ext cx="5075360" cy="502964"/>
        </a:xfrm>
        <a:prstGeom prst="rect">
          <a:avLst/>
        </a:prstGeom>
      </xdr:spPr>
    </xdr:pic>
    <xdr:clientData/>
  </xdr:twoCellAnchor>
  <xdr:twoCellAnchor editAs="oneCell">
    <xdr:from>
      <xdr:col>1</xdr:col>
      <xdr:colOff>0</xdr:colOff>
      <xdr:row>58</xdr:row>
      <xdr:rowOff>0</xdr:rowOff>
    </xdr:from>
    <xdr:to>
      <xdr:col>2</xdr:col>
      <xdr:colOff>243840</xdr:colOff>
      <xdr:row>63</xdr:row>
      <xdr:rowOff>96807</xdr:rowOff>
    </xdr:to>
    <xdr:pic>
      <xdr:nvPicPr>
        <xdr:cNvPr id="21" name="Billede 20">
          <a:extLst>
            <a:ext uri="{FF2B5EF4-FFF2-40B4-BE49-F238E27FC236}">
              <a16:creationId xmlns:a16="http://schemas.microsoft.com/office/drawing/2014/main" id="{24680DDB-CC51-4087-99E4-7D6135B25AAA}"/>
            </a:ext>
          </a:extLst>
        </xdr:cNvPr>
        <xdr:cNvPicPr>
          <a:picLocks noChangeAspect="1"/>
        </xdr:cNvPicPr>
      </xdr:nvPicPr>
      <xdr:blipFill>
        <a:blip xmlns:r="http://schemas.openxmlformats.org/officeDocument/2006/relationships" r:embed="rId5"/>
        <a:stretch>
          <a:fillRect/>
        </a:stretch>
      </xdr:blipFill>
      <xdr:spPr>
        <a:xfrm>
          <a:off x="365760" y="10439400"/>
          <a:ext cx="2796540" cy="885477"/>
        </a:xfrm>
        <a:prstGeom prst="rect">
          <a:avLst/>
        </a:prstGeom>
      </xdr:spPr>
    </xdr:pic>
    <xdr:clientData/>
  </xdr:twoCellAnchor>
  <xdr:twoCellAnchor editAs="oneCell">
    <xdr:from>
      <xdr:col>0</xdr:col>
      <xdr:colOff>358140</xdr:colOff>
      <xdr:row>66</xdr:row>
      <xdr:rowOff>53340</xdr:rowOff>
    </xdr:from>
    <xdr:to>
      <xdr:col>2</xdr:col>
      <xdr:colOff>1581508</xdr:colOff>
      <xdr:row>72</xdr:row>
      <xdr:rowOff>167733</xdr:rowOff>
    </xdr:to>
    <xdr:pic>
      <xdr:nvPicPr>
        <xdr:cNvPr id="22" name="Billede 21">
          <a:extLst>
            <a:ext uri="{FF2B5EF4-FFF2-40B4-BE49-F238E27FC236}">
              <a16:creationId xmlns:a16="http://schemas.microsoft.com/office/drawing/2014/main" id="{23E0C0F8-F480-4BB5-A570-5E2E7247B133}"/>
            </a:ext>
          </a:extLst>
        </xdr:cNvPr>
        <xdr:cNvPicPr>
          <a:picLocks noChangeAspect="1"/>
        </xdr:cNvPicPr>
      </xdr:nvPicPr>
      <xdr:blipFill>
        <a:blip xmlns:r="http://schemas.openxmlformats.org/officeDocument/2006/relationships" r:embed="rId6"/>
        <a:stretch>
          <a:fillRect/>
        </a:stretch>
      </xdr:blipFill>
      <xdr:spPr>
        <a:xfrm>
          <a:off x="358140" y="11856720"/>
          <a:ext cx="4130398" cy="1074513"/>
        </a:xfrm>
        <a:prstGeom prst="rect">
          <a:avLst/>
        </a:prstGeom>
      </xdr:spPr>
    </xdr:pic>
    <xdr:clientData/>
  </xdr:twoCellAnchor>
  <xdr:twoCellAnchor editAs="oneCell">
    <xdr:from>
      <xdr:col>1</xdr:col>
      <xdr:colOff>0</xdr:colOff>
      <xdr:row>21</xdr:row>
      <xdr:rowOff>0</xdr:rowOff>
    </xdr:from>
    <xdr:to>
      <xdr:col>2</xdr:col>
      <xdr:colOff>1333837</xdr:colOff>
      <xdr:row>25</xdr:row>
      <xdr:rowOff>243918</xdr:rowOff>
    </xdr:to>
    <xdr:pic>
      <xdr:nvPicPr>
        <xdr:cNvPr id="4" name="Billede 3">
          <a:extLst>
            <a:ext uri="{FF2B5EF4-FFF2-40B4-BE49-F238E27FC236}">
              <a16:creationId xmlns:a16="http://schemas.microsoft.com/office/drawing/2014/main" id="{556C7093-3D30-45C2-96EB-2B662C326966}"/>
            </a:ext>
          </a:extLst>
        </xdr:cNvPr>
        <xdr:cNvPicPr>
          <a:picLocks noChangeAspect="1"/>
        </xdr:cNvPicPr>
      </xdr:nvPicPr>
      <xdr:blipFill>
        <a:blip xmlns:r="http://schemas.openxmlformats.org/officeDocument/2006/relationships" r:embed="rId7"/>
        <a:stretch>
          <a:fillRect/>
        </a:stretch>
      </xdr:blipFill>
      <xdr:spPr>
        <a:xfrm>
          <a:off x="361950" y="4086225"/>
          <a:ext cx="3886537" cy="899238"/>
        </a:xfrm>
        <a:prstGeom prst="rect">
          <a:avLst/>
        </a:prstGeom>
      </xdr:spPr>
    </xdr:pic>
    <xdr:clientData/>
  </xdr:twoCellAnchor>
  <xdr:twoCellAnchor editAs="oneCell">
    <xdr:from>
      <xdr:col>1</xdr:col>
      <xdr:colOff>0</xdr:colOff>
      <xdr:row>25</xdr:row>
      <xdr:rowOff>466725</xdr:rowOff>
    </xdr:from>
    <xdr:to>
      <xdr:col>1</xdr:col>
      <xdr:colOff>514394</xdr:colOff>
      <xdr:row>32</xdr:row>
      <xdr:rowOff>131551</xdr:rowOff>
    </xdr:to>
    <xdr:pic>
      <xdr:nvPicPr>
        <xdr:cNvPr id="7" name="Billede 6">
          <a:extLst>
            <a:ext uri="{FF2B5EF4-FFF2-40B4-BE49-F238E27FC236}">
              <a16:creationId xmlns:a16="http://schemas.microsoft.com/office/drawing/2014/main" id="{2F318293-3DAA-4AB3-A1D2-4278C81065AA}"/>
            </a:ext>
          </a:extLst>
        </xdr:cNvPr>
        <xdr:cNvPicPr>
          <a:picLocks noChangeAspect="1"/>
        </xdr:cNvPicPr>
      </xdr:nvPicPr>
      <xdr:blipFill>
        <a:blip xmlns:r="http://schemas.openxmlformats.org/officeDocument/2006/relationships" r:embed="rId8"/>
        <a:stretch>
          <a:fillRect/>
        </a:stretch>
      </xdr:blipFill>
      <xdr:spPr>
        <a:xfrm>
          <a:off x="361950" y="5200650"/>
          <a:ext cx="514394" cy="1225021"/>
        </a:xfrm>
        <a:prstGeom prst="rect">
          <a:avLst/>
        </a:prstGeom>
      </xdr:spPr>
    </xdr:pic>
    <xdr:clientData/>
  </xdr:twoCellAnchor>
  <xdr:twoCellAnchor editAs="oneCell">
    <xdr:from>
      <xdr:col>1</xdr:col>
      <xdr:colOff>676275</xdr:colOff>
      <xdr:row>25</xdr:row>
      <xdr:rowOff>438150</xdr:rowOff>
    </xdr:from>
    <xdr:to>
      <xdr:col>1</xdr:col>
      <xdr:colOff>1160188</xdr:colOff>
      <xdr:row>32</xdr:row>
      <xdr:rowOff>129648</xdr:rowOff>
    </xdr:to>
    <xdr:pic>
      <xdr:nvPicPr>
        <xdr:cNvPr id="8" name="Billede 7">
          <a:extLst>
            <a:ext uri="{FF2B5EF4-FFF2-40B4-BE49-F238E27FC236}">
              <a16:creationId xmlns:a16="http://schemas.microsoft.com/office/drawing/2014/main" id="{FFFE2A99-7194-4FFB-BFFA-FE7847E5F0F6}"/>
            </a:ext>
          </a:extLst>
        </xdr:cNvPr>
        <xdr:cNvPicPr>
          <a:picLocks noChangeAspect="1"/>
        </xdr:cNvPicPr>
      </xdr:nvPicPr>
      <xdr:blipFill>
        <a:blip xmlns:r="http://schemas.openxmlformats.org/officeDocument/2006/relationships" r:embed="rId9"/>
        <a:stretch>
          <a:fillRect/>
        </a:stretch>
      </xdr:blipFill>
      <xdr:spPr>
        <a:xfrm>
          <a:off x="1038225" y="5172075"/>
          <a:ext cx="495343" cy="1244073"/>
        </a:xfrm>
        <a:prstGeom prst="rect">
          <a:avLst/>
        </a:prstGeom>
      </xdr:spPr>
    </xdr:pic>
    <xdr:clientData/>
  </xdr:twoCellAnchor>
  <xdr:twoCellAnchor editAs="oneCell">
    <xdr:from>
      <xdr:col>1</xdr:col>
      <xdr:colOff>0</xdr:colOff>
      <xdr:row>33</xdr:row>
      <xdr:rowOff>0</xdr:rowOff>
    </xdr:from>
    <xdr:to>
      <xdr:col>1</xdr:col>
      <xdr:colOff>1009737</xdr:colOff>
      <xdr:row>37</xdr:row>
      <xdr:rowOff>95313</xdr:rowOff>
    </xdr:to>
    <xdr:pic>
      <xdr:nvPicPr>
        <xdr:cNvPr id="9" name="Billede 8">
          <a:extLst>
            <a:ext uri="{FF2B5EF4-FFF2-40B4-BE49-F238E27FC236}">
              <a16:creationId xmlns:a16="http://schemas.microsoft.com/office/drawing/2014/main" id="{11465AF8-B02A-4428-8FBB-6297E5B0F0DE}"/>
            </a:ext>
          </a:extLst>
        </xdr:cNvPr>
        <xdr:cNvPicPr>
          <a:picLocks noChangeAspect="1"/>
        </xdr:cNvPicPr>
      </xdr:nvPicPr>
      <xdr:blipFill>
        <a:blip xmlns:r="http://schemas.openxmlformats.org/officeDocument/2006/relationships" r:embed="rId10"/>
        <a:stretch>
          <a:fillRect/>
        </a:stretch>
      </xdr:blipFill>
      <xdr:spPr>
        <a:xfrm>
          <a:off x="361950" y="6572250"/>
          <a:ext cx="998307" cy="731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3238500</xdr:colOff>
      <xdr:row>0</xdr:row>
      <xdr:rowOff>142875</xdr:rowOff>
    </xdr:from>
    <xdr:ext cx="430506" cy="432000"/>
    <xdr:pic>
      <xdr:nvPicPr>
        <xdr:cNvPr id="2" name="Picture 2" descr="http://metroui.org.ua/images/excel2013icon.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1E7145"/>
            </a:clrFrom>
            <a:clrTo>
              <a:srgbClr val="1E7145">
                <a:alpha val="0"/>
              </a:srgbClr>
            </a:clrTo>
          </a:clrChange>
          <a:extLst>
            <a:ext uri="{28A0092B-C50C-407E-A947-70E740481C1C}">
              <a14:useLocalDpi xmlns:a14="http://schemas.microsoft.com/office/drawing/2010/main" val="0"/>
            </a:ext>
          </a:extLst>
        </a:blip>
        <a:srcRect/>
        <a:stretch>
          <a:fillRect/>
        </a:stretch>
      </xdr:blipFill>
      <xdr:spPr bwMode="auto">
        <a:xfrm>
          <a:off x="2057400" y="142875"/>
          <a:ext cx="430506" cy="432000"/>
        </a:xfrm>
        <a:prstGeom prst="rect">
          <a:avLst/>
        </a:prstGeom>
        <a:noFill/>
      </xdr:spPr>
    </xdr:pic>
    <xdr:clientData/>
  </xdr:oneCellAnchor>
</xdr:wsDr>
</file>

<file path=xl/theme/theme1.xml><?xml version="1.0" encoding="utf-8"?>
<a:theme xmlns:a="http://schemas.openxmlformats.org/drawingml/2006/main" name="Office-tema">
  <a:themeElements>
    <a:clrScheme name="xlEasy">
      <a:dk1>
        <a:sysClr val="windowText" lastClr="000000"/>
      </a:dk1>
      <a:lt1>
        <a:sysClr val="window" lastClr="FFFFFF"/>
      </a:lt1>
      <a:dk2>
        <a:srgbClr val="3D546F"/>
      </a:dk2>
      <a:lt2>
        <a:srgbClr val="EEECE1"/>
      </a:lt2>
      <a:accent1>
        <a:srgbClr val="F67F08"/>
      </a:accent1>
      <a:accent2>
        <a:srgbClr val="E31B46"/>
      </a:accent2>
      <a:accent3>
        <a:srgbClr val="6492CA"/>
      </a:accent3>
      <a:accent4>
        <a:srgbClr val="9D66AC"/>
      </a:accent4>
      <a:accent5>
        <a:srgbClr val="E6FE00"/>
      </a:accent5>
      <a:accent6>
        <a:srgbClr val="32764F"/>
      </a:accent6>
      <a:hlink>
        <a:srgbClr val="333399"/>
      </a:hlink>
      <a:folHlink>
        <a:srgbClr val="DE006F"/>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bu.dk/turneringer-og-resultater/love-og-regler/faelles-turneringsregle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xleasy.dk/"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01">
    <outlinePr showOutlineSymbols="0"/>
    <pageSetUpPr fitToPage="1"/>
  </sheetPr>
  <dimension ref="B2:C82"/>
  <sheetViews>
    <sheetView showGridLines="0" showRowColHeaders="0" tabSelected="1" showOutlineSymbols="0" zoomScaleNormal="100" workbookViewId="0"/>
  </sheetViews>
  <sheetFormatPr defaultColWidth="9" defaultRowHeight="12.6" x14ac:dyDescent="0.2"/>
  <cols>
    <col min="1" max="1" width="4.36328125" customWidth="1"/>
    <col min="2" max="2" width="30.453125" customWidth="1"/>
    <col min="3" max="3" width="73.90625" customWidth="1"/>
  </cols>
  <sheetData>
    <row r="2" spans="2:3" ht="60" customHeight="1" thickBot="1" x14ac:dyDescent="0.25">
      <c r="B2" s="22"/>
      <c r="C2" s="23" t="str">
        <f>appName&amp;" v"&amp;appVers&amp;"  "</f>
        <v xml:space="preserve">xlEasy Turnering v2003  </v>
      </c>
    </row>
    <row r="3" spans="2:3" ht="27.75" customHeight="1" thickBot="1" x14ac:dyDescent="0.25">
      <c r="B3" s="24" t="str">
        <f>appNameLong</f>
        <v>xlEasy Turnering 03x2, 04x1, 04x2, 04x3, 04x4, 05x1, 05x2, 06x1, 06x2, 07x1, 07x2, 08x1, 08x2, 09x1, 09x2, 10x1, 10x2</v>
      </c>
      <c r="C3" s="25"/>
    </row>
    <row r="5" spans="2:3" ht="19.2" x14ac:dyDescent="0.2">
      <c r="B5" s="106" t="s">
        <v>38</v>
      </c>
      <c r="C5" s="107"/>
    </row>
    <row r="6" spans="2:3" ht="5.25" customHeight="1" x14ac:dyDescent="0.2">
      <c r="B6" s="26"/>
      <c r="C6" s="26"/>
    </row>
    <row r="7" spans="2:3" x14ac:dyDescent="0.2">
      <c r="B7" s="27" t="s">
        <v>39</v>
      </c>
      <c r="C7" s="26"/>
    </row>
    <row r="8" spans="2:3" x14ac:dyDescent="0.2">
      <c r="B8" s="27" t="s">
        <v>40</v>
      </c>
      <c r="C8" s="26"/>
    </row>
    <row r="9" spans="2:3" ht="6" customHeight="1" x14ac:dyDescent="0.2">
      <c r="B9" s="27"/>
      <c r="C9" s="27"/>
    </row>
    <row r="10" spans="2:3" ht="19.2" x14ac:dyDescent="0.2">
      <c r="B10" s="107" t="s">
        <v>41</v>
      </c>
      <c r="C10" s="107"/>
    </row>
    <row r="11" spans="2:3" ht="6" customHeight="1" x14ac:dyDescent="0.2">
      <c r="B11" s="26"/>
      <c r="C11" s="26"/>
    </row>
    <row r="12" spans="2:3" ht="12.75" customHeight="1" x14ac:dyDescent="0.2">
      <c r="B12" s="27"/>
      <c r="C12" s="27" t="s">
        <v>202</v>
      </c>
    </row>
    <row r="13" spans="2:3" ht="12.75" customHeight="1" x14ac:dyDescent="0.2">
      <c r="B13" s="27"/>
      <c r="C13" s="28"/>
    </row>
    <row r="14" spans="2:3" ht="12.75" customHeight="1" x14ac:dyDescent="0.2">
      <c r="B14" s="27"/>
      <c r="C14" s="27" t="s">
        <v>203</v>
      </c>
    </row>
    <row r="15" spans="2:3" ht="12.75" customHeight="1" x14ac:dyDescent="0.2">
      <c r="B15" s="27"/>
      <c r="C15" s="27"/>
    </row>
    <row r="16" spans="2:3" ht="12.75" customHeight="1" x14ac:dyDescent="0.2">
      <c r="B16" s="27"/>
      <c r="C16" s="27" t="s">
        <v>204</v>
      </c>
    </row>
    <row r="17" spans="2:3" ht="12.75" customHeight="1" x14ac:dyDescent="0.2">
      <c r="B17" s="27"/>
      <c r="C17" s="27" t="s">
        <v>205</v>
      </c>
    </row>
    <row r="18" spans="2:3" ht="12.75" customHeight="1" x14ac:dyDescent="0.2">
      <c r="B18" s="27"/>
      <c r="C18" s="27"/>
    </row>
    <row r="19" spans="2:3" x14ac:dyDescent="0.2">
      <c r="B19" s="26"/>
      <c r="C19" s="26" t="s">
        <v>206</v>
      </c>
    </row>
    <row r="20" spans="2:3" x14ac:dyDescent="0.2">
      <c r="B20" s="27"/>
      <c r="C20" s="27"/>
    </row>
    <row r="21" spans="2:3" x14ac:dyDescent="0.2">
      <c r="B21" s="27"/>
      <c r="C21" s="27"/>
    </row>
    <row r="22" spans="2:3" x14ac:dyDescent="0.2">
      <c r="B22" s="27"/>
      <c r="C22" s="214" t="s">
        <v>207</v>
      </c>
    </row>
    <row r="23" spans="2:3" x14ac:dyDescent="0.2">
      <c r="B23" s="27"/>
      <c r="C23" s="214" t="s">
        <v>208</v>
      </c>
    </row>
    <row r="24" spans="2:3" x14ac:dyDescent="0.2">
      <c r="B24" s="27"/>
      <c r="C24" s="181"/>
    </row>
    <row r="25" spans="2:3" x14ac:dyDescent="0.2">
      <c r="B25" s="27"/>
      <c r="C25" s="181"/>
    </row>
    <row r="26" spans="2:3" ht="45.6" customHeight="1" x14ac:dyDescent="0.2">
      <c r="B26" s="27"/>
      <c r="C26" s="181"/>
    </row>
    <row r="27" spans="2:3" x14ac:dyDescent="0.2">
      <c r="B27" s="27"/>
      <c r="C27" s="27" t="s">
        <v>209</v>
      </c>
    </row>
    <row r="28" spans="2:3" x14ac:dyDescent="0.2">
      <c r="B28" s="27"/>
      <c r="C28" s="27" t="s">
        <v>215</v>
      </c>
    </row>
    <row r="29" spans="2:3" x14ac:dyDescent="0.2">
      <c r="B29" s="27"/>
      <c r="C29" s="27" t="s">
        <v>42</v>
      </c>
    </row>
    <row r="30" spans="2:3" x14ac:dyDescent="0.2">
      <c r="B30" s="27"/>
      <c r="C30" s="27" t="s">
        <v>43</v>
      </c>
    </row>
    <row r="31" spans="2:3" x14ac:dyDescent="0.2">
      <c r="B31" s="27"/>
      <c r="C31" s="27"/>
    </row>
    <row r="32" spans="2:3" x14ac:dyDescent="0.2">
      <c r="B32" s="27"/>
      <c r="C32" s="27"/>
    </row>
    <row r="33" spans="2:3" ht="23.25" customHeight="1" x14ac:dyDescent="0.2">
      <c r="B33" s="27"/>
      <c r="C33" s="27"/>
    </row>
    <row r="34" spans="2:3" x14ac:dyDescent="0.2">
      <c r="B34" s="27"/>
      <c r="C34" s="27" t="s">
        <v>210</v>
      </c>
    </row>
    <row r="35" spans="2:3" x14ac:dyDescent="0.2">
      <c r="B35" s="27"/>
      <c r="C35" s="27" t="s">
        <v>211</v>
      </c>
    </row>
    <row r="36" spans="2:3" x14ac:dyDescent="0.2">
      <c r="B36" s="27"/>
      <c r="C36" s="29"/>
    </row>
    <row r="37" spans="2:3" x14ac:dyDescent="0.2">
      <c r="B37" s="27"/>
      <c r="C37" s="27"/>
    </row>
    <row r="38" spans="2:3" x14ac:dyDescent="0.2">
      <c r="B38" s="27"/>
      <c r="C38" s="27"/>
    </row>
    <row r="39" spans="2:3" x14ac:dyDescent="0.2">
      <c r="B39" s="27"/>
      <c r="C39" s="30"/>
    </row>
    <row r="40" spans="2:3" x14ac:dyDescent="0.2">
      <c r="B40" s="27"/>
      <c r="C40" s="31" t="s">
        <v>44</v>
      </c>
    </row>
    <row r="41" spans="2:3" x14ac:dyDescent="0.2">
      <c r="B41" s="27"/>
      <c r="C41" s="31" t="s">
        <v>45</v>
      </c>
    </row>
    <row r="42" spans="2:3" x14ac:dyDescent="0.2">
      <c r="B42" s="27"/>
      <c r="C42" s="31" t="s">
        <v>46</v>
      </c>
    </row>
    <row r="43" spans="2:3" x14ac:dyDescent="0.2">
      <c r="B43" s="27"/>
      <c r="C43" s="31" t="s">
        <v>216</v>
      </c>
    </row>
    <row r="44" spans="2:3" x14ac:dyDescent="0.2">
      <c r="B44" s="27"/>
      <c r="C44" s="31" t="s">
        <v>217</v>
      </c>
    </row>
    <row r="45" spans="2:3" x14ac:dyDescent="0.2">
      <c r="B45" s="27"/>
    </row>
    <row r="46" spans="2:3" x14ac:dyDescent="0.2">
      <c r="B46" s="27"/>
      <c r="C46" s="27"/>
    </row>
    <row r="47" spans="2:3" x14ac:dyDescent="0.2">
      <c r="B47" s="27"/>
      <c r="C47" s="27"/>
    </row>
    <row r="48" spans="2:3" x14ac:dyDescent="0.2">
      <c r="B48" s="27"/>
      <c r="C48" s="27"/>
    </row>
    <row r="49" spans="2:3" x14ac:dyDescent="0.2">
      <c r="B49" s="27"/>
      <c r="C49" s="27"/>
    </row>
    <row r="50" spans="2:3" x14ac:dyDescent="0.2">
      <c r="B50" s="27"/>
      <c r="C50" s="27"/>
    </row>
    <row r="51" spans="2:3" x14ac:dyDescent="0.2">
      <c r="B51" s="27" t="s">
        <v>212</v>
      </c>
    </row>
    <row r="52" spans="2:3" x14ac:dyDescent="0.2">
      <c r="B52" s="27" t="s">
        <v>213</v>
      </c>
    </row>
    <row r="53" spans="2:3" x14ac:dyDescent="0.2">
      <c r="B53" t="s">
        <v>214</v>
      </c>
    </row>
    <row r="54" spans="2:3" x14ac:dyDescent="0.2">
      <c r="B54" s="27"/>
      <c r="C54" s="27"/>
    </row>
    <row r="55" spans="2:3" x14ac:dyDescent="0.2">
      <c r="B55" s="27"/>
      <c r="C55" s="27"/>
    </row>
    <row r="56" spans="2:3" ht="6" customHeight="1" x14ac:dyDescent="0.2">
      <c r="B56" s="27"/>
      <c r="C56" s="27"/>
    </row>
    <row r="57" spans="2:3" ht="19.2" x14ac:dyDescent="0.2">
      <c r="B57" s="107" t="s">
        <v>47</v>
      </c>
      <c r="C57" s="107"/>
    </row>
    <row r="58" spans="2:3" ht="6" customHeight="1" x14ac:dyDescent="0.2">
      <c r="B58" s="27"/>
      <c r="C58" s="27"/>
    </row>
    <row r="59" spans="2:3" x14ac:dyDescent="0.2">
      <c r="B59" s="27"/>
      <c r="C59" s="32" t="s">
        <v>48</v>
      </c>
    </row>
    <row r="60" spans="2:3" x14ac:dyDescent="0.2">
      <c r="B60" s="27"/>
      <c r="C60" s="32" t="s">
        <v>49</v>
      </c>
    </row>
    <row r="61" spans="2:3" x14ac:dyDescent="0.2">
      <c r="B61" s="27"/>
      <c r="C61" s="32" t="s">
        <v>50</v>
      </c>
    </row>
    <row r="62" spans="2:3" x14ac:dyDescent="0.2">
      <c r="B62" s="27"/>
      <c r="C62" s="32"/>
    </row>
    <row r="63" spans="2:3" x14ac:dyDescent="0.2">
      <c r="B63" s="27"/>
      <c r="C63" s="33"/>
    </row>
    <row r="64" spans="2:3" x14ac:dyDescent="0.2">
      <c r="B64" s="27"/>
      <c r="C64" s="33"/>
    </row>
    <row r="65" spans="2:3" x14ac:dyDescent="0.2">
      <c r="B65" s="27"/>
      <c r="C65" s="27"/>
    </row>
    <row r="66" spans="2:3" ht="19.2" x14ac:dyDescent="0.2">
      <c r="B66" s="107" t="s">
        <v>51</v>
      </c>
      <c r="C66" s="107"/>
    </row>
    <row r="67" spans="2:3" x14ac:dyDescent="0.2">
      <c r="B67" s="27"/>
      <c r="C67" s="182" t="s">
        <v>52</v>
      </c>
    </row>
    <row r="68" spans="2:3" x14ac:dyDescent="0.2">
      <c r="B68" s="27"/>
      <c r="C68" s="182" t="s">
        <v>53</v>
      </c>
    </row>
    <row r="69" spans="2:3" x14ac:dyDescent="0.2">
      <c r="B69" s="27"/>
      <c r="C69" s="182"/>
    </row>
    <row r="70" spans="2:3" x14ac:dyDescent="0.2">
      <c r="B70" s="27"/>
      <c r="C70" s="182" t="s">
        <v>54</v>
      </c>
    </row>
    <row r="71" spans="2:3" x14ac:dyDescent="0.2">
      <c r="B71" s="27"/>
      <c r="C71" s="182" t="s">
        <v>55</v>
      </c>
    </row>
    <row r="72" spans="2:3" x14ac:dyDescent="0.2">
      <c r="B72" s="27"/>
      <c r="C72" s="182"/>
    </row>
    <row r="73" spans="2:3" ht="25.5" customHeight="1" x14ac:dyDescent="0.2">
      <c r="B73" s="27"/>
      <c r="C73" s="30"/>
    </row>
    <row r="74" spans="2:3" ht="19.2" x14ac:dyDescent="0.2">
      <c r="B74" s="107" t="s">
        <v>190</v>
      </c>
      <c r="C74" s="107"/>
    </row>
    <row r="75" spans="2:3" x14ac:dyDescent="0.2">
      <c r="B75" s="27" t="s">
        <v>219</v>
      </c>
      <c r="C75" s="27"/>
    </row>
    <row r="76" spans="2:3" x14ac:dyDescent="0.2">
      <c r="B76" s="27" t="s">
        <v>220</v>
      </c>
      <c r="C76" s="27"/>
    </row>
    <row r="77" spans="2:3" x14ac:dyDescent="0.2">
      <c r="B77" s="27" t="s">
        <v>221</v>
      </c>
      <c r="C77" s="27"/>
    </row>
    <row r="78" spans="2:3" x14ac:dyDescent="0.2">
      <c r="B78" s="27" t="s">
        <v>222</v>
      </c>
      <c r="C78" s="27"/>
    </row>
    <row r="79" spans="2:3" ht="14.4" x14ac:dyDescent="0.3">
      <c r="B79" s="215" t="s">
        <v>218</v>
      </c>
      <c r="C79" s="27"/>
    </row>
    <row r="80" spans="2:3" ht="23.25" customHeight="1" x14ac:dyDescent="0.2">
      <c r="B80" s="27" t="s">
        <v>56</v>
      </c>
      <c r="C80" s="27"/>
    </row>
    <row r="81" spans="2:3" x14ac:dyDescent="0.2">
      <c r="B81" s="27"/>
      <c r="C81" s="27"/>
    </row>
    <row r="82" spans="2:3" ht="19.2" x14ac:dyDescent="0.2">
      <c r="B82" s="217" t="str">
        <f>"Besøg "&amp;HYPERLINK("http://www.xleasy.dk","www.xleasy.dk")</f>
        <v>Besøg www.xleasy.dk</v>
      </c>
      <c r="C82" s="217"/>
    </row>
  </sheetData>
  <sheetProtection sheet="1" objects="1" scenarios="1"/>
  <mergeCells count="1">
    <mergeCell ref="B82:C82"/>
  </mergeCells>
  <hyperlinks>
    <hyperlink ref="B79" r:id="rId1" xr:uid="{E6C83B2F-27DA-4C16-90D6-AA2E960ADE15}"/>
  </hyperlinks>
  <printOptions horizontalCentered="1"/>
  <pageMargins left="0.39370078740157483" right="0.27559055118110237" top="0.44" bottom="0.39" header="0.31496062992125984" footer="0.23"/>
  <pageSetup paperSize="9" scale="68" orientation="portrait" horizontalDpi="4294967294" verticalDpi="0"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1B02-FAE9-4337-8805-3DFFA04E1F3C}">
  <sheetPr codeName="grp05x2">
    <tabColor rgb="FFFFC000"/>
    <outlinePr showOutlineSymbols="0"/>
    <pageSetUpPr fitToPage="1"/>
  </sheetPr>
  <dimension ref="A1:X43"/>
  <sheetViews>
    <sheetView showGridLines="0" showRowColHeaders="0" showOutlineSymbols="0" zoomScaleNormal="100" zoomScaleSheetLayoutView="100" workbookViewId="0">
      <pane ySplit="18" topLeftCell="A19" activePane="bottomLeft" state="frozen"/>
      <selection activeCell="L43" sqref="L43"/>
      <selection pane="bottomLeft" activeCell="P19" sqref="P19"/>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6"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7" si="0">INDEX(xTeams,A3,1)</f>
        <v>Assens</v>
      </c>
      <c r="C3" s="96">
        <f t="shared" ref="C3" ca="1" si="1">SUMIF(team1,teams,goals1)+SUMIF(team2,teams,goals2)</f>
        <v>28</v>
      </c>
      <c r="D3" s="96">
        <f t="shared" ref="D3" ca="1" si="2">SUMIF(team1,teams,goals2)+SUMIF(team2,teams,goals1)</f>
        <v>23</v>
      </c>
      <c r="E3" s="104">
        <f t="shared" ref="E3:E7" ca="1" si="3">SUMIFS(
   points1,team1,teams
) +
  SUMIFS(points2,team2,teams)</f>
        <v>15</v>
      </c>
      <c r="F3" s="96">
        <f t="shared" ref="F3:F7" ca="1" si="4">C3-D3</f>
        <v>5</v>
      </c>
      <c r="G3" s="96">
        <f t="shared" ref="G3:G7" ca="1" si="5">COUNTIFS(team1,$B3,points1,"&gt;=0")+COUNTIFS(team2,$B3,points2,"&gt;=0")</f>
        <v>8</v>
      </c>
      <c r="H3" s="105">
        <f ca="1">IF(G3=0,1,0)</f>
        <v>0</v>
      </c>
      <c r="I3" s="105">
        <f ca="1">RANK($E3,$E$3:$E$7,0)</f>
        <v>1</v>
      </c>
      <c r="J3" s="98">
        <f ca="1">RANK($F3,$F$3:$F$7,0)/10</f>
        <v>0.1</v>
      </c>
      <c r="K3" s="99">
        <f ca="1">RANK($C3,$C$3:$C$7,0)/100</f>
        <v>0.01</v>
      </c>
      <c r="L3" s="99">
        <f ca="1">SUM(H3:K3)</f>
        <v>1.1100000000000001</v>
      </c>
      <c r="M3" s="96">
        <f ca="1">RANK($L3,$L$3:$L$7,1) + COUNTIF($L$3:$L3,$L3)-1</f>
        <v>1</v>
      </c>
    </row>
    <row r="4" spans="1:24" hidden="1" outlineLevel="1" x14ac:dyDescent="0.2">
      <c r="A4" s="103">
        <v>2</v>
      </c>
      <c r="B4" s="103" t="str">
        <f t="shared" si="0"/>
        <v>Bogense</v>
      </c>
      <c r="C4" s="96">
        <f t="shared" ref="C4:C7" ca="1" si="6">SUMIF(team1,teams,goals1)+SUMIF(team2,teams,goals2)</f>
        <v>20</v>
      </c>
      <c r="D4" s="96">
        <f t="shared" ref="D4:D7" ca="1" si="7">SUMIF(team1,teams,goals2)+SUMIF(team2,teams,goals1)</f>
        <v>23</v>
      </c>
      <c r="E4" s="104">
        <f t="shared" ca="1" si="3"/>
        <v>9</v>
      </c>
      <c r="F4" s="96">
        <f t="shared" ca="1" si="4"/>
        <v>-3</v>
      </c>
      <c r="G4" s="96">
        <f t="shared" ca="1" si="5"/>
        <v>8</v>
      </c>
      <c r="H4" s="105">
        <f t="shared" ref="H4:H7" ca="1" si="8">IF(G4=0,1,0)</f>
        <v>0</v>
      </c>
      <c r="I4" s="105">
        <f ca="1">RANK($E4,$E$3:$E$7,0)</f>
        <v>4</v>
      </c>
      <c r="J4" s="98">
        <f ca="1">RANK($F4,$F$3:$F$7,0)/10</f>
        <v>0.4</v>
      </c>
      <c r="K4" s="99">
        <f ca="1">RANK($C4,$C$3:$C$7,0)/100</f>
        <v>0.04</v>
      </c>
      <c r="L4" s="99">
        <f t="shared" ref="L4:L7" ca="1" si="9">SUM(H4:K4)</f>
        <v>4.4400000000000004</v>
      </c>
      <c r="M4" s="96">
        <f ca="1">RANK($L4,$L$3:$L$7,1) + COUNTIF($L$3:$L4,$L4)-1</f>
        <v>4</v>
      </c>
    </row>
    <row r="5" spans="1:24" hidden="1" outlineLevel="1" x14ac:dyDescent="0.2">
      <c r="A5" s="103">
        <v>3</v>
      </c>
      <c r="B5" s="103" t="str">
        <f t="shared" si="0"/>
        <v>Christiansfelt</v>
      </c>
      <c r="C5" s="96">
        <f t="shared" ca="1" si="6"/>
        <v>23</v>
      </c>
      <c r="D5" s="96">
        <f t="shared" ca="1" si="7"/>
        <v>19</v>
      </c>
      <c r="E5" s="104">
        <f t="shared" ca="1" si="3"/>
        <v>13</v>
      </c>
      <c r="F5" s="96">
        <f t="shared" ca="1" si="4"/>
        <v>4</v>
      </c>
      <c r="G5" s="96">
        <f t="shared" ca="1" si="5"/>
        <v>8</v>
      </c>
      <c r="H5" s="105">
        <f t="shared" ca="1" si="8"/>
        <v>0</v>
      </c>
      <c r="I5" s="105">
        <f ca="1">RANK($E5,$E$3:$E$7,0)</f>
        <v>2</v>
      </c>
      <c r="J5" s="98">
        <f ca="1">RANK($F5,$F$3:$F$7,0)/10</f>
        <v>0.2</v>
      </c>
      <c r="K5" s="99">
        <f ca="1">RANK($C5,$C$3:$C$7,0)/100</f>
        <v>0.03</v>
      </c>
      <c r="L5" s="99">
        <f t="shared" ca="1" si="9"/>
        <v>2.23</v>
      </c>
      <c r="M5" s="96">
        <f ca="1">RANK($L5,$L$3:$L$7,1) + COUNTIF($L$3:$L5,$L5)-1</f>
        <v>2</v>
      </c>
    </row>
    <row r="6" spans="1:24" hidden="1" outlineLevel="1" x14ac:dyDescent="0.2">
      <c r="A6" s="103">
        <v>4</v>
      </c>
      <c r="B6" s="103" t="str">
        <f t="shared" si="0"/>
        <v>Dragør</v>
      </c>
      <c r="C6" s="96">
        <f t="shared" ca="1" si="6"/>
        <v>25</v>
      </c>
      <c r="D6" s="96">
        <f t="shared" ca="1" si="7"/>
        <v>26</v>
      </c>
      <c r="E6" s="104">
        <f t="shared" ca="1" si="3"/>
        <v>13</v>
      </c>
      <c r="F6" s="96">
        <f t="shared" ca="1" si="4"/>
        <v>-1</v>
      </c>
      <c r="G6" s="96">
        <f t="shared" ca="1" si="5"/>
        <v>8</v>
      </c>
      <c r="H6" s="105">
        <f t="shared" ca="1" si="8"/>
        <v>0</v>
      </c>
      <c r="I6" s="105">
        <f ca="1">RANK($E6,$E$3:$E$7,0)</f>
        <v>2</v>
      </c>
      <c r="J6" s="98">
        <f ca="1">RANK($F6,$F$3:$F$7,0)/10</f>
        <v>0.3</v>
      </c>
      <c r="K6" s="99">
        <f ca="1">RANK($C6,$C$3:$C$7,0)/100</f>
        <v>0.02</v>
      </c>
      <c r="L6" s="99">
        <f t="shared" ca="1" si="9"/>
        <v>2.3199999999999998</v>
      </c>
      <c r="M6" s="96">
        <f ca="1">RANK($L6,$L$3:$L$7,1) + COUNTIF($L$3:$L6,$L6)-1</f>
        <v>3</v>
      </c>
    </row>
    <row r="7" spans="1:24" hidden="1" outlineLevel="1" x14ac:dyDescent="0.2">
      <c r="A7" s="103">
        <v>5</v>
      </c>
      <c r="B7" s="103" t="str">
        <f t="shared" si="0"/>
        <v>Ejby</v>
      </c>
      <c r="C7" s="96">
        <f t="shared" ca="1" si="6"/>
        <v>20</v>
      </c>
      <c r="D7" s="96">
        <f t="shared" ca="1" si="7"/>
        <v>25</v>
      </c>
      <c r="E7" s="104">
        <f t="shared" ca="1" si="3"/>
        <v>9</v>
      </c>
      <c r="F7" s="96">
        <f t="shared" ca="1" si="4"/>
        <v>-5</v>
      </c>
      <c r="G7" s="96">
        <f t="shared" ca="1" si="5"/>
        <v>8</v>
      </c>
      <c r="H7" s="105">
        <f t="shared" ca="1" si="8"/>
        <v>0</v>
      </c>
      <c r="I7" s="105">
        <f ca="1">RANK($E7,$E$3:$E$7,0)</f>
        <v>4</v>
      </c>
      <c r="J7" s="98">
        <f ca="1">RANK($F7,$F$3:$F$7,0)/10</f>
        <v>0.5</v>
      </c>
      <c r="K7" s="99">
        <f ca="1">RANK($C7,$C$3:$C$7,0)/100</f>
        <v>0.04</v>
      </c>
      <c r="L7" s="99">
        <f t="shared" ca="1" si="9"/>
        <v>4.54</v>
      </c>
      <c r="M7" s="96">
        <f ca="1">RANK($L7,$L$3:$L$7,1) + COUNTIF($L$3:$L7,$L7)-1</f>
        <v>5</v>
      </c>
    </row>
    <row r="8" spans="1:24" ht="13.2" collapsed="1" thickBot="1" x14ac:dyDescent="0.25">
      <c r="O8"/>
      <c r="P8"/>
      <c r="Q8"/>
      <c r="R8"/>
    </row>
    <row r="9" spans="1:24" s="4" customFormat="1" ht="24" thickBot="1" x14ac:dyDescent="0.5">
      <c r="A9" s="42" t="s">
        <v>168</v>
      </c>
      <c r="B9" s="74">
        <v>6</v>
      </c>
      <c r="C9" s="72"/>
      <c r="D9" s="73" t="s">
        <v>65</v>
      </c>
      <c r="E9" s="74">
        <f>(B9/2)*(B9-1)</f>
        <v>15</v>
      </c>
      <c r="O9" s="75" t="str">
        <f>TurneringsNavn</f>
        <v>Forårsstævne</v>
      </c>
      <c r="P9" s="5"/>
      <c r="Q9" s="5"/>
      <c r="R9" s="5"/>
      <c r="S9" s="5"/>
      <c r="T9" s="5"/>
      <c r="U9" s="5"/>
      <c r="V9" s="5"/>
      <c r="W9" s="5"/>
      <c r="X9" s="5"/>
    </row>
    <row r="10" spans="1:24" ht="6.75" customHeight="1" x14ac:dyDescent="0.2">
      <c r="K10" s="4"/>
      <c r="L10" s="4"/>
      <c r="O10"/>
      <c r="P10"/>
      <c r="Q10"/>
      <c r="R10"/>
    </row>
    <row r="11" spans="1:24" ht="13.8" x14ac:dyDescent="0.25">
      <c r="B11" s="6" t="s">
        <v>66</v>
      </c>
      <c r="C11" s="6" t="s">
        <v>67</v>
      </c>
      <c r="D11" s="6" t="s">
        <v>68</v>
      </c>
      <c r="E11" s="6" t="s">
        <v>69</v>
      </c>
      <c r="F11" s="6" t="s">
        <v>70</v>
      </c>
      <c r="G11" s="7" t="s">
        <v>2</v>
      </c>
      <c r="H11" s="6" t="s">
        <v>3</v>
      </c>
      <c r="I11" s="6" t="s">
        <v>4</v>
      </c>
      <c r="J11" s="6" t="s">
        <v>167</v>
      </c>
      <c r="K11" s="4"/>
      <c r="O11" s="128" t="s">
        <v>198</v>
      </c>
      <c r="P11" s="129" t="s">
        <v>176</v>
      </c>
      <c r="Q11" s="129"/>
      <c r="R11" s="130" t="s">
        <v>5</v>
      </c>
      <c r="S11" s="128" t="s">
        <v>6</v>
      </c>
      <c r="T11" s="128" t="s">
        <v>7</v>
      </c>
      <c r="U11" s="128" t="s">
        <v>8</v>
      </c>
      <c r="V11" s="128" t="s">
        <v>9</v>
      </c>
      <c r="W11" s="128" t="s">
        <v>10</v>
      </c>
      <c r="X11" s="131" t="s">
        <v>177</v>
      </c>
    </row>
    <row r="12" spans="1:24" ht="17.399999999999999" x14ac:dyDescent="0.35">
      <c r="A12" s="6" t="s">
        <v>66</v>
      </c>
      <c r="B12" s="8"/>
      <c r="C12" s="9">
        <v>9</v>
      </c>
      <c r="D12" s="9">
        <v>17</v>
      </c>
      <c r="E12" s="9">
        <v>5</v>
      </c>
      <c r="F12" s="9">
        <v>13</v>
      </c>
      <c r="G12" s="10" t="str">
        <f ca="1">IFERROR(CHOOSE((P12=H$42)*1+(P12=I$42)*2+(P12=H$40)*3,"Guld","Sølv","Bronze"),"")</f>
        <v/>
      </c>
      <c r="H12" s="11">
        <f t="shared" ref="H12:I16" ca="1" si="10">COUNTIF(P$19:P$38,$B3)</f>
        <v>4</v>
      </c>
      <c r="I12" s="11">
        <f t="shared" ca="1" si="10"/>
        <v>4</v>
      </c>
      <c r="J12" s="11">
        <f ca="1">SUM(H12:I12)</f>
        <v>8</v>
      </c>
      <c r="K12" s="4"/>
      <c r="O12" s="119">
        <v>1</v>
      </c>
      <c r="P12" s="120" t="str">
        <f ca="1" xml:space="preserve">  INDEX(teams,MATCH(rankNum,actRank,0))</f>
        <v>Assens</v>
      </c>
      <c r="Q12" s="120"/>
      <c r="R12" s="127">
        <f t="shared" ref="R12:R16" ca="1" si="11">COUNTIFS(team1,teamName,points1,"&gt;=0")+COUNTIFS(team2,teamName,points2,"&gt;=0")</f>
        <v>8</v>
      </c>
      <c r="S12" s="143">
        <f t="shared" ref="S12:S16" ca="1" si="12">COUNTIFS(team1,teamName,points1,ptv)+COUNTIFS(team2,teamName,points2,ptv)</f>
        <v>5</v>
      </c>
      <c r="T12" s="121">
        <f t="shared" ref="T12:T16" ca="1" si="13">COUNTIFS(team1,teamName,points1,ptu)+COUNTIFS(team2,teamName,points2,ptu)</f>
        <v>0</v>
      </c>
      <c r="U12" s="121">
        <f t="shared" ref="U12:U16" ca="1" si="14">COUNTIFS(team1,teamName,points1,ptt)+COUNTIFS(team2,teamName,points2,ptt)</f>
        <v>3</v>
      </c>
      <c r="V12" s="143">
        <f t="shared" ref="V12:V16" ca="1" si="15">SUMIF(team1,teamName,goals1)+SUMIF(team2,teamName,goals2)</f>
        <v>28</v>
      </c>
      <c r="W12" s="121">
        <f t="shared" ref="W12:W16" ca="1" si="16">SUMIF(team1,teamName,goals2)+SUMIF(team2,teamName,goals1)</f>
        <v>23</v>
      </c>
      <c r="X12" s="144">
        <f t="shared" ref="X12:X16" ca="1" si="17">SUMIFS(points1,team1,teamName)+SUMIFS(points2,team2,teamName)</f>
        <v>15</v>
      </c>
    </row>
    <row r="13" spans="1:24" ht="17.399999999999999" x14ac:dyDescent="0.35">
      <c r="A13" s="6" t="s">
        <v>67</v>
      </c>
      <c r="B13" s="9">
        <v>19</v>
      </c>
      <c r="C13" s="8"/>
      <c r="D13" s="9">
        <v>4</v>
      </c>
      <c r="E13" s="9">
        <v>18</v>
      </c>
      <c r="F13" s="9">
        <v>1</v>
      </c>
      <c r="G13" s="10" t="str">
        <f ca="1">IFERROR(CHOOSE((P13=H$42)*1+(P13=I$42)*2+(P13=H$40)*3,"Guld","Sølv","Bronze"),"")</f>
        <v/>
      </c>
      <c r="H13" s="11">
        <f t="shared" ca="1" si="10"/>
        <v>4</v>
      </c>
      <c r="I13" s="11">
        <f t="shared" ca="1" si="10"/>
        <v>4</v>
      </c>
      <c r="J13" s="11">
        <f ca="1">SUM(H13:I13)</f>
        <v>8</v>
      </c>
      <c r="K13" s="4"/>
      <c r="O13" s="119">
        <v>2</v>
      </c>
      <c r="P13" s="120" t="str">
        <f t="shared" ref="P13:P16" ca="1" si="18" xml:space="preserve">  INDEX(teams,MATCH(rankNum,actRank,0))</f>
        <v>Christiansfelt</v>
      </c>
      <c r="Q13" s="120"/>
      <c r="R13" s="127">
        <f t="shared" ca="1" si="11"/>
        <v>8</v>
      </c>
      <c r="S13" s="143">
        <f t="shared" ca="1" si="12"/>
        <v>4</v>
      </c>
      <c r="T13" s="121">
        <f t="shared" ca="1" si="13"/>
        <v>1</v>
      </c>
      <c r="U13" s="121">
        <f t="shared" ca="1" si="14"/>
        <v>3</v>
      </c>
      <c r="V13" s="143">
        <f t="shared" ca="1" si="15"/>
        <v>23</v>
      </c>
      <c r="W13" s="121">
        <f t="shared" ca="1" si="16"/>
        <v>19</v>
      </c>
      <c r="X13" s="144">
        <f t="shared" ca="1" si="17"/>
        <v>13</v>
      </c>
    </row>
    <row r="14" spans="1:24" ht="17.399999999999999" x14ac:dyDescent="0.35">
      <c r="A14" s="6" t="s">
        <v>68</v>
      </c>
      <c r="B14" s="9">
        <v>7</v>
      </c>
      <c r="C14" s="9">
        <v>14</v>
      </c>
      <c r="D14" s="8"/>
      <c r="E14" s="9">
        <v>2</v>
      </c>
      <c r="F14" s="9">
        <v>16</v>
      </c>
      <c r="G14" s="10" t="str">
        <f ca="1">IFERROR(CHOOSE((P14=H$42)*1+(P14=I$42)*2+(P14=H$40)*3,"Guld","Sølv","Bronze"),"")</f>
        <v/>
      </c>
      <c r="H14" s="11">
        <f t="shared" ca="1" si="10"/>
        <v>4</v>
      </c>
      <c r="I14" s="11">
        <f t="shared" ca="1" si="10"/>
        <v>4</v>
      </c>
      <c r="J14" s="11">
        <f ca="1">SUM(H14:I14)</f>
        <v>8</v>
      </c>
      <c r="K14" s="4"/>
      <c r="O14" s="119">
        <v>3</v>
      </c>
      <c r="P14" s="120" t="str">
        <f t="shared" ca="1" si="18"/>
        <v>Dragør</v>
      </c>
      <c r="Q14" s="120"/>
      <c r="R14" s="127">
        <f t="shared" ca="1" si="11"/>
        <v>8</v>
      </c>
      <c r="S14" s="143">
        <f t="shared" ca="1" si="12"/>
        <v>4</v>
      </c>
      <c r="T14" s="121">
        <f t="shared" ca="1" si="13"/>
        <v>1</v>
      </c>
      <c r="U14" s="121">
        <f t="shared" ca="1" si="14"/>
        <v>3</v>
      </c>
      <c r="V14" s="143">
        <f t="shared" ca="1" si="15"/>
        <v>25</v>
      </c>
      <c r="W14" s="121">
        <f t="shared" ca="1" si="16"/>
        <v>26</v>
      </c>
      <c r="X14" s="144">
        <f t="shared" ca="1" si="17"/>
        <v>13</v>
      </c>
    </row>
    <row r="15" spans="1:24" ht="17.399999999999999" x14ac:dyDescent="0.35">
      <c r="A15" s="6" t="s">
        <v>69</v>
      </c>
      <c r="B15" s="9">
        <v>15</v>
      </c>
      <c r="C15" s="9">
        <v>8</v>
      </c>
      <c r="D15" s="9">
        <v>12</v>
      </c>
      <c r="E15" s="8"/>
      <c r="F15" s="9">
        <v>10</v>
      </c>
      <c r="G15" s="10" t="str">
        <f ca="1">IFERROR(CHOOSE((P15=H$42)*1+(P15=I$42)*2+(P15=H$40)*3,"Guld","Sølv","Bronze"),"")</f>
        <v/>
      </c>
      <c r="H15" s="11">
        <f t="shared" ca="1" si="10"/>
        <v>4</v>
      </c>
      <c r="I15" s="11">
        <f t="shared" ca="1" si="10"/>
        <v>4</v>
      </c>
      <c r="J15" s="11">
        <f ca="1">SUM(H15:I15)</f>
        <v>8</v>
      </c>
      <c r="K15" s="4"/>
      <c r="O15" s="119">
        <v>4</v>
      </c>
      <c r="P15" s="120" t="str">
        <f t="shared" ca="1" si="18"/>
        <v>Bogense</v>
      </c>
      <c r="Q15" s="120"/>
      <c r="R15" s="127">
        <f t="shared" ca="1" si="11"/>
        <v>8</v>
      </c>
      <c r="S15" s="143">
        <f t="shared" ca="1" si="12"/>
        <v>3</v>
      </c>
      <c r="T15" s="121">
        <f t="shared" ca="1" si="13"/>
        <v>0</v>
      </c>
      <c r="U15" s="121">
        <f t="shared" ca="1" si="14"/>
        <v>5</v>
      </c>
      <c r="V15" s="143">
        <f t="shared" ca="1" si="15"/>
        <v>20</v>
      </c>
      <c r="W15" s="121">
        <f t="shared" ca="1" si="16"/>
        <v>23</v>
      </c>
      <c r="X15" s="144">
        <f t="shared" ca="1" si="17"/>
        <v>9</v>
      </c>
    </row>
    <row r="16" spans="1:24" ht="17.399999999999999" x14ac:dyDescent="0.35">
      <c r="A16" s="6" t="s">
        <v>70</v>
      </c>
      <c r="B16" s="9">
        <v>3</v>
      </c>
      <c r="C16" s="9">
        <v>11</v>
      </c>
      <c r="D16" s="9">
        <v>6</v>
      </c>
      <c r="E16" s="9">
        <v>20</v>
      </c>
      <c r="F16" s="8"/>
      <c r="G16" s="10" t="str">
        <f ca="1">IFERROR(CHOOSE((P16=H$42)*1+(P16=I$42)*2+(P16=H$40)*3,"Guld","Sølv","Bronze"),"")</f>
        <v/>
      </c>
      <c r="H16" s="11">
        <f t="shared" ca="1" si="10"/>
        <v>4</v>
      </c>
      <c r="I16" s="11">
        <f t="shared" ca="1" si="10"/>
        <v>4</v>
      </c>
      <c r="J16" s="11">
        <f ca="1">SUM(H16:I16)</f>
        <v>8</v>
      </c>
      <c r="K16" s="4"/>
      <c r="O16" s="119">
        <v>5</v>
      </c>
      <c r="P16" s="120" t="str">
        <f t="shared" ca="1" si="18"/>
        <v>Ejby</v>
      </c>
      <c r="Q16" s="120"/>
      <c r="R16" s="127">
        <f t="shared" ca="1" si="11"/>
        <v>8</v>
      </c>
      <c r="S16" s="143">
        <f t="shared" ca="1" si="12"/>
        <v>3</v>
      </c>
      <c r="T16" s="121">
        <f t="shared" ca="1" si="13"/>
        <v>0</v>
      </c>
      <c r="U16" s="121">
        <f t="shared" ca="1" si="14"/>
        <v>5</v>
      </c>
      <c r="V16" s="143">
        <f t="shared" ca="1" si="15"/>
        <v>20</v>
      </c>
      <c r="W16" s="121">
        <f t="shared" ca="1" si="16"/>
        <v>25</v>
      </c>
      <c r="X16" s="144">
        <f t="shared" ca="1" si="17"/>
        <v>9</v>
      </c>
    </row>
    <row r="17" spans="1:24" x14ac:dyDescent="0.2">
      <c r="O17"/>
      <c r="P17"/>
      <c r="Q17"/>
      <c r="R17"/>
    </row>
    <row r="18" spans="1:24" s="12" customFormat="1" ht="15" thickBot="1" x14ac:dyDescent="0.35">
      <c r="C18" s="44" t="s">
        <v>17</v>
      </c>
      <c r="D18" s="45" t="s">
        <v>18</v>
      </c>
      <c r="E18" s="61" t="s">
        <v>19</v>
      </c>
      <c r="F18" s="47" t="s">
        <v>20</v>
      </c>
      <c r="G18" s="47" t="s">
        <v>21</v>
      </c>
      <c r="H18" s="47" t="s">
        <v>22</v>
      </c>
      <c r="I18" s="47" t="s">
        <v>23</v>
      </c>
      <c r="J18" s="48" t="s">
        <v>24</v>
      </c>
      <c r="K18" s="49" t="s">
        <v>25</v>
      </c>
      <c r="L18" s="49"/>
      <c r="O18" s="140" t="s">
        <v>5</v>
      </c>
      <c r="P18" s="139" t="s">
        <v>26</v>
      </c>
      <c r="Q18" s="139" t="s">
        <v>27</v>
      </c>
      <c r="R18" s="179" t="s">
        <v>28</v>
      </c>
      <c r="S18" s="179" t="s">
        <v>29</v>
      </c>
      <c r="T18" s="179" t="s">
        <v>30</v>
      </c>
      <c r="U18" s="180" t="s">
        <v>31</v>
      </c>
      <c r="V18" s="180" t="s">
        <v>31</v>
      </c>
      <c r="W18" s="138" t="s">
        <v>32</v>
      </c>
      <c r="X18" s="138" t="s">
        <v>32</v>
      </c>
    </row>
    <row r="19" spans="1:24" ht="17.399999999999999" x14ac:dyDescent="0.35">
      <c r="A19" s="13"/>
      <c r="B19" s="14"/>
      <c r="C19" s="50" t="s">
        <v>89</v>
      </c>
      <c r="D19" s="51"/>
      <c r="E19" s="50">
        <v>1</v>
      </c>
      <c r="F19" s="52">
        <f t="shared" ref="F19:F38" si="19">SUMPRODUCT((HxA=$E19)*(COLUMN(HxA)))-COLUMN(HxA)+1</f>
        <v>6</v>
      </c>
      <c r="G19" s="52">
        <f t="shared" ref="G19:G38" si="20">SUMPRODUCT((HxA=$E19)*(ROW(HxA)))-ROW(HxA)+1</f>
        <v>3</v>
      </c>
      <c r="H19" s="53" t="str">
        <f t="shared" ref="H19:H38" si="21">INDEX(HxA,G19,1)</f>
        <v>T_02</v>
      </c>
      <c r="I19" s="53" t="str">
        <f t="shared" ref="I19:I38" si="22">INDEX(HxA,1,F19)</f>
        <v>T_05</v>
      </c>
      <c r="J19" s="54"/>
      <c r="K19" s="55">
        <v>43832</v>
      </c>
      <c r="L19" s="71"/>
      <c r="O19" s="186">
        <v>1</v>
      </c>
      <c r="P19" s="186" t="str">
        <f t="shared" ref="P19:Q38" ca="1" si="23">INDIRECT(H19)</f>
        <v>Bogense</v>
      </c>
      <c r="Q19" s="186" t="str">
        <f t="shared" ca="1" si="23"/>
        <v>Ejby</v>
      </c>
      <c r="R19" s="187">
        <v>43832</v>
      </c>
      <c r="S19" s="188" t="s">
        <v>33</v>
      </c>
      <c r="T19" s="189">
        <v>1</v>
      </c>
      <c r="U19" s="190">
        <v>0</v>
      </c>
      <c r="V19" s="191">
        <v>4</v>
      </c>
      <c r="W19" s="192">
        <f t="shared" ref="W19:W38" si="24">IF(ISNUMBER(U19)*ISNUMBER(V19),IF(U19&gt;V19,ptv, IF(U19=V19,ptu,ptt)),"-")</f>
        <v>0</v>
      </c>
      <c r="X19" s="192">
        <f t="shared" ref="X19:X38" si="25">IF(ISNUMBER(U19)*ISNUMBER(V19),IF(W19=ptv,ptt,IF(W19=ptu,ptu,ptv)),"-")</f>
        <v>3</v>
      </c>
    </row>
    <row r="20" spans="1:24" ht="18" thickBot="1" x14ac:dyDescent="0.4">
      <c r="A20" s="13"/>
      <c r="B20" s="14"/>
      <c r="C20" s="56" t="s">
        <v>90</v>
      </c>
      <c r="D20" s="57">
        <f>OR(H20=H19,H20=I19,I20=H19,I20=I19)*1</f>
        <v>0</v>
      </c>
      <c r="E20" s="56">
        <v>2</v>
      </c>
      <c r="F20" s="58">
        <f t="shared" si="19"/>
        <v>5</v>
      </c>
      <c r="G20" s="58">
        <f t="shared" si="20"/>
        <v>4</v>
      </c>
      <c r="H20" s="59" t="str">
        <f t="shared" si="21"/>
        <v>T_03</v>
      </c>
      <c r="I20" s="59" t="str">
        <f t="shared" si="22"/>
        <v>T_04</v>
      </c>
      <c r="J20" s="59">
        <v>0</v>
      </c>
      <c r="K20" s="60">
        <f>$K$19+J20</f>
        <v>43832</v>
      </c>
      <c r="L20" s="71"/>
      <c r="O20" s="124">
        <v>2</v>
      </c>
      <c r="P20" s="124" t="str">
        <f t="shared" ca="1" si="23"/>
        <v>Christiansfelt</v>
      </c>
      <c r="Q20" s="124" t="str">
        <f t="shared" ca="1" si="23"/>
        <v>Dragør</v>
      </c>
      <c r="R20" s="135">
        <v>43832</v>
      </c>
      <c r="S20" s="125" t="str">
        <f>IFERROR(S19+mMin,"-")</f>
        <v>-</v>
      </c>
      <c r="T20" s="149">
        <v>2</v>
      </c>
      <c r="U20" s="150">
        <v>5</v>
      </c>
      <c r="V20" s="151">
        <v>5</v>
      </c>
      <c r="W20" s="126">
        <f t="shared" si="24"/>
        <v>1</v>
      </c>
      <c r="X20" s="126">
        <f t="shared" si="25"/>
        <v>1</v>
      </c>
    </row>
    <row r="21" spans="1:24" ht="18" thickBot="1" x14ac:dyDescent="0.4">
      <c r="A21" s="13"/>
      <c r="B21" s="14"/>
      <c r="C21" s="67" t="s">
        <v>101</v>
      </c>
      <c r="D21" s="66">
        <f t="shared" ref="D21:D38" si="26">OR(H21=H20,H21=I20,I21=H20,I21=I20)*1</f>
        <v>0</v>
      </c>
      <c r="E21" s="67">
        <v>3</v>
      </c>
      <c r="F21" s="68">
        <f t="shared" si="19"/>
        <v>2</v>
      </c>
      <c r="G21" s="68">
        <f t="shared" si="20"/>
        <v>6</v>
      </c>
      <c r="H21" s="69" t="str">
        <f t="shared" si="21"/>
        <v>T_05</v>
      </c>
      <c r="I21" s="69" t="str">
        <f t="shared" si="22"/>
        <v>T_01</v>
      </c>
      <c r="J21" s="69">
        <v>0</v>
      </c>
      <c r="K21" s="70">
        <f t="shared" ref="K21:K42" si="27">$K$19+J21</f>
        <v>43832</v>
      </c>
      <c r="L21" s="71"/>
      <c r="O21" s="193">
        <v>3</v>
      </c>
      <c r="P21" s="193" t="str">
        <f t="shared" ca="1" si="23"/>
        <v>Ejby</v>
      </c>
      <c r="Q21" s="193" t="str">
        <f t="shared" ca="1" si="23"/>
        <v>Assens</v>
      </c>
      <c r="R21" s="194">
        <v>43832</v>
      </c>
      <c r="S21" s="195" t="s">
        <v>33</v>
      </c>
      <c r="T21" s="196">
        <v>1</v>
      </c>
      <c r="U21" s="197">
        <v>3</v>
      </c>
      <c r="V21" s="198">
        <v>5</v>
      </c>
      <c r="W21" s="199">
        <f t="shared" si="24"/>
        <v>0</v>
      </c>
      <c r="X21" s="199">
        <f t="shared" si="25"/>
        <v>3</v>
      </c>
    </row>
    <row r="22" spans="1:24" ht="18" thickBot="1" x14ac:dyDescent="0.4">
      <c r="A22" s="13"/>
      <c r="B22" s="14"/>
      <c r="C22" s="63" t="s">
        <v>95</v>
      </c>
      <c r="D22" s="62">
        <f t="shared" si="26"/>
        <v>0</v>
      </c>
      <c r="E22" s="63">
        <v>4</v>
      </c>
      <c r="F22" s="51">
        <f t="shared" si="19"/>
        <v>4</v>
      </c>
      <c r="G22" s="51">
        <f t="shared" si="20"/>
        <v>3</v>
      </c>
      <c r="H22" s="64" t="str">
        <f t="shared" si="21"/>
        <v>T_02</v>
      </c>
      <c r="I22" s="64" t="str">
        <f t="shared" si="22"/>
        <v>T_03</v>
      </c>
      <c r="J22" s="64">
        <v>1</v>
      </c>
      <c r="K22" s="65">
        <f t="shared" si="27"/>
        <v>43833</v>
      </c>
      <c r="L22" s="71"/>
      <c r="O22" s="124">
        <v>4</v>
      </c>
      <c r="P22" s="124" t="str">
        <f t="shared" ca="1" si="23"/>
        <v>Bogense</v>
      </c>
      <c r="Q22" s="124" t="str">
        <f t="shared" ca="1" si="23"/>
        <v>Christiansfelt</v>
      </c>
      <c r="R22" s="135">
        <v>43833</v>
      </c>
      <c r="S22" s="125" t="str">
        <f>IFERROR(S21+mMin,"-")</f>
        <v>-</v>
      </c>
      <c r="T22" s="149">
        <v>2</v>
      </c>
      <c r="U22" s="150">
        <v>4</v>
      </c>
      <c r="V22" s="151">
        <v>2</v>
      </c>
      <c r="W22" s="126">
        <f t="shared" si="24"/>
        <v>3</v>
      </c>
      <c r="X22" s="126">
        <f t="shared" si="25"/>
        <v>0</v>
      </c>
    </row>
    <row r="23" spans="1:24" ht="17.399999999999999" x14ac:dyDescent="0.35">
      <c r="A23" s="13"/>
      <c r="B23" s="14"/>
      <c r="C23" s="56" t="s">
        <v>106</v>
      </c>
      <c r="D23" s="57">
        <f t="shared" si="26"/>
        <v>0</v>
      </c>
      <c r="E23" s="56">
        <v>5</v>
      </c>
      <c r="F23" s="58">
        <f t="shared" si="19"/>
        <v>5</v>
      </c>
      <c r="G23" s="58">
        <f t="shared" si="20"/>
        <v>2</v>
      </c>
      <c r="H23" s="59" t="str">
        <f t="shared" si="21"/>
        <v>T_01</v>
      </c>
      <c r="I23" s="59" t="str">
        <f t="shared" si="22"/>
        <v>T_04</v>
      </c>
      <c r="J23" s="59">
        <v>1</v>
      </c>
      <c r="K23" s="60">
        <f t="shared" si="27"/>
        <v>43833</v>
      </c>
      <c r="L23" s="71"/>
      <c r="O23" s="193">
        <v>5</v>
      </c>
      <c r="P23" s="193" t="str">
        <f t="shared" ca="1" si="23"/>
        <v>Assens</v>
      </c>
      <c r="Q23" s="193" t="str">
        <f t="shared" ca="1" si="23"/>
        <v>Dragør</v>
      </c>
      <c r="R23" s="194">
        <v>43833</v>
      </c>
      <c r="S23" s="195" t="s">
        <v>33</v>
      </c>
      <c r="T23" s="196">
        <v>1</v>
      </c>
      <c r="U23" s="197">
        <v>5</v>
      </c>
      <c r="V23" s="198">
        <v>3</v>
      </c>
      <c r="W23" s="199">
        <f t="shared" si="24"/>
        <v>3</v>
      </c>
      <c r="X23" s="199">
        <f t="shared" si="25"/>
        <v>0</v>
      </c>
    </row>
    <row r="24" spans="1:24" ht="18" thickBot="1" x14ac:dyDescent="0.4">
      <c r="A24" s="13"/>
      <c r="B24" s="14"/>
      <c r="C24" s="67" t="s">
        <v>107</v>
      </c>
      <c r="D24" s="66">
        <f t="shared" si="26"/>
        <v>0</v>
      </c>
      <c r="E24" s="67">
        <v>6</v>
      </c>
      <c r="F24" s="68">
        <f t="shared" si="19"/>
        <v>4</v>
      </c>
      <c r="G24" s="68">
        <f t="shared" si="20"/>
        <v>6</v>
      </c>
      <c r="H24" s="69" t="str">
        <f t="shared" si="21"/>
        <v>T_05</v>
      </c>
      <c r="I24" s="69" t="str">
        <f t="shared" si="22"/>
        <v>T_03</v>
      </c>
      <c r="J24" s="69">
        <v>1</v>
      </c>
      <c r="K24" s="70">
        <f t="shared" si="27"/>
        <v>43833</v>
      </c>
      <c r="L24" s="71"/>
      <c r="O24" s="124">
        <v>6</v>
      </c>
      <c r="P24" s="124" t="str">
        <f t="shared" ca="1" si="23"/>
        <v>Ejby</v>
      </c>
      <c r="Q24" s="124" t="str">
        <f t="shared" ca="1" si="23"/>
        <v>Christiansfelt</v>
      </c>
      <c r="R24" s="135">
        <v>43833</v>
      </c>
      <c r="S24" s="125" t="str">
        <f>IFERROR(S23+mMin,"-")</f>
        <v>-</v>
      </c>
      <c r="T24" s="149">
        <v>2</v>
      </c>
      <c r="U24" s="150">
        <v>0</v>
      </c>
      <c r="V24" s="151">
        <v>3</v>
      </c>
      <c r="W24" s="126">
        <f t="shared" si="24"/>
        <v>0</v>
      </c>
      <c r="X24" s="126">
        <f t="shared" si="25"/>
        <v>3</v>
      </c>
    </row>
    <row r="25" spans="1:24" ht="17.399999999999999" x14ac:dyDescent="0.35">
      <c r="A25" s="13"/>
      <c r="B25" s="14"/>
      <c r="C25" s="63" t="s">
        <v>111</v>
      </c>
      <c r="D25" s="62">
        <f t="shared" si="26"/>
        <v>1</v>
      </c>
      <c r="E25" s="63">
        <v>7</v>
      </c>
      <c r="F25" s="51">
        <f t="shared" si="19"/>
        <v>2</v>
      </c>
      <c r="G25" s="51">
        <f t="shared" si="20"/>
        <v>4</v>
      </c>
      <c r="H25" s="64" t="str">
        <f t="shared" si="21"/>
        <v>T_03</v>
      </c>
      <c r="I25" s="64" t="str">
        <f t="shared" si="22"/>
        <v>T_01</v>
      </c>
      <c r="J25" s="64">
        <v>2</v>
      </c>
      <c r="K25" s="65">
        <f t="shared" si="27"/>
        <v>43834</v>
      </c>
      <c r="L25" s="71"/>
      <c r="O25" s="193">
        <v>7</v>
      </c>
      <c r="P25" s="193" t="str">
        <f t="shared" ca="1" si="23"/>
        <v>Christiansfelt</v>
      </c>
      <c r="Q25" s="193" t="str">
        <f t="shared" ca="1" si="23"/>
        <v>Assens</v>
      </c>
      <c r="R25" s="194">
        <v>43834</v>
      </c>
      <c r="S25" s="195" t="s">
        <v>33</v>
      </c>
      <c r="T25" s="196">
        <v>1</v>
      </c>
      <c r="U25" s="197">
        <v>5</v>
      </c>
      <c r="V25" s="198">
        <v>3</v>
      </c>
      <c r="W25" s="199">
        <f t="shared" si="24"/>
        <v>3</v>
      </c>
      <c r="X25" s="199">
        <f t="shared" si="25"/>
        <v>0</v>
      </c>
    </row>
    <row r="26" spans="1:24" ht="18" thickBot="1" x14ac:dyDescent="0.4">
      <c r="A26" s="13"/>
      <c r="B26" s="14"/>
      <c r="C26" s="56" t="s">
        <v>112</v>
      </c>
      <c r="D26" s="57">
        <f t="shared" si="26"/>
        <v>0</v>
      </c>
      <c r="E26" s="56">
        <v>8</v>
      </c>
      <c r="F26" s="58">
        <f t="shared" si="19"/>
        <v>3</v>
      </c>
      <c r="G26" s="58">
        <f t="shared" si="20"/>
        <v>5</v>
      </c>
      <c r="H26" s="59" t="str">
        <f t="shared" si="21"/>
        <v>T_04</v>
      </c>
      <c r="I26" s="59" t="str">
        <f t="shared" si="22"/>
        <v>T_02</v>
      </c>
      <c r="J26" s="59">
        <v>2</v>
      </c>
      <c r="K26" s="60">
        <f t="shared" si="27"/>
        <v>43834</v>
      </c>
      <c r="L26" s="71"/>
      <c r="O26" s="124">
        <v>8</v>
      </c>
      <c r="P26" s="124" t="str">
        <f t="shared" ca="1" si="23"/>
        <v>Dragør</v>
      </c>
      <c r="Q26" s="124" t="str">
        <f t="shared" ca="1" si="23"/>
        <v>Bogense</v>
      </c>
      <c r="R26" s="135">
        <v>43834</v>
      </c>
      <c r="S26" s="125" t="str">
        <f>IFERROR(S25+mMin,"-")</f>
        <v>-</v>
      </c>
      <c r="T26" s="149">
        <v>2</v>
      </c>
      <c r="U26" s="150">
        <v>1</v>
      </c>
      <c r="V26" s="151">
        <v>5</v>
      </c>
      <c r="W26" s="126">
        <f t="shared" si="24"/>
        <v>0</v>
      </c>
      <c r="X26" s="126">
        <f t="shared" si="25"/>
        <v>3</v>
      </c>
    </row>
    <row r="27" spans="1:24" ht="18" thickBot="1" x14ac:dyDescent="0.4">
      <c r="A27" s="13"/>
      <c r="B27" s="14"/>
      <c r="C27" s="67" t="s">
        <v>116</v>
      </c>
      <c r="D27" s="66">
        <f t="shared" si="26"/>
        <v>1</v>
      </c>
      <c r="E27" s="67">
        <v>9</v>
      </c>
      <c r="F27" s="68">
        <f t="shared" si="19"/>
        <v>3</v>
      </c>
      <c r="G27" s="68">
        <f t="shared" si="20"/>
        <v>2</v>
      </c>
      <c r="H27" s="69" t="str">
        <f t="shared" si="21"/>
        <v>T_01</v>
      </c>
      <c r="I27" s="69" t="str">
        <f t="shared" si="22"/>
        <v>T_02</v>
      </c>
      <c r="J27" s="69">
        <v>2</v>
      </c>
      <c r="K27" s="70">
        <f t="shared" si="27"/>
        <v>43834</v>
      </c>
      <c r="L27" s="71"/>
      <c r="O27" s="193">
        <v>9</v>
      </c>
      <c r="P27" s="193" t="str">
        <f t="shared" ca="1" si="23"/>
        <v>Assens</v>
      </c>
      <c r="Q27" s="193" t="str">
        <f t="shared" ca="1" si="23"/>
        <v>Bogense</v>
      </c>
      <c r="R27" s="194">
        <v>43834</v>
      </c>
      <c r="S27" s="195" t="s">
        <v>33</v>
      </c>
      <c r="T27" s="196">
        <v>1</v>
      </c>
      <c r="U27" s="197">
        <v>1</v>
      </c>
      <c r="V27" s="198">
        <v>4</v>
      </c>
      <c r="W27" s="199">
        <f t="shared" si="24"/>
        <v>0</v>
      </c>
      <c r="X27" s="199">
        <f t="shared" si="25"/>
        <v>3</v>
      </c>
    </row>
    <row r="28" spans="1:24" ht="18" thickBot="1" x14ac:dyDescent="0.4">
      <c r="A28" s="13"/>
      <c r="B28" s="14"/>
      <c r="C28" s="63" t="s">
        <v>85</v>
      </c>
      <c r="D28" s="62">
        <f t="shared" si="26"/>
        <v>0</v>
      </c>
      <c r="E28" s="63">
        <v>10</v>
      </c>
      <c r="F28" s="51">
        <f t="shared" si="19"/>
        <v>6</v>
      </c>
      <c r="G28" s="51">
        <f t="shared" si="20"/>
        <v>5</v>
      </c>
      <c r="H28" s="64" t="str">
        <f t="shared" si="21"/>
        <v>T_04</v>
      </c>
      <c r="I28" s="64" t="str">
        <f t="shared" si="22"/>
        <v>T_05</v>
      </c>
      <c r="J28" s="64">
        <v>3</v>
      </c>
      <c r="K28" s="65">
        <f t="shared" si="27"/>
        <v>43835</v>
      </c>
      <c r="L28" s="71"/>
      <c r="O28" s="200">
        <v>10</v>
      </c>
      <c r="P28" s="200" t="str">
        <f t="shared" ca="1" si="23"/>
        <v>Dragør</v>
      </c>
      <c r="Q28" s="200" t="str">
        <f t="shared" ca="1" si="23"/>
        <v>Ejby</v>
      </c>
      <c r="R28" s="201">
        <v>43835</v>
      </c>
      <c r="S28" s="202" t="str">
        <f>IFERROR(S27+mMin,"-")</f>
        <v>-</v>
      </c>
      <c r="T28" s="203">
        <v>2</v>
      </c>
      <c r="U28" s="204">
        <v>4</v>
      </c>
      <c r="V28" s="205">
        <v>2</v>
      </c>
      <c r="W28" s="206">
        <f t="shared" si="24"/>
        <v>3</v>
      </c>
      <c r="X28" s="206">
        <f t="shared" si="25"/>
        <v>0</v>
      </c>
    </row>
    <row r="29" spans="1:24" ht="18" thickTop="1" x14ac:dyDescent="0.35">
      <c r="A29" s="13"/>
      <c r="B29" s="14"/>
      <c r="C29" s="56" t="s">
        <v>134</v>
      </c>
      <c r="D29" s="57">
        <f t="shared" si="26"/>
        <v>1</v>
      </c>
      <c r="E29" s="56">
        <v>11</v>
      </c>
      <c r="F29" s="58">
        <f t="shared" si="19"/>
        <v>3</v>
      </c>
      <c r="G29" s="58">
        <f t="shared" si="20"/>
        <v>6</v>
      </c>
      <c r="H29" s="59" t="str">
        <f t="shared" si="21"/>
        <v>T_05</v>
      </c>
      <c r="I29" s="59" t="str">
        <f t="shared" si="22"/>
        <v>T_02</v>
      </c>
      <c r="J29" s="59">
        <v>3</v>
      </c>
      <c r="K29" s="60">
        <f t="shared" si="27"/>
        <v>43835</v>
      </c>
      <c r="L29" s="71"/>
      <c r="O29" s="207">
        <v>11</v>
      </c>
      <c r="P29" s="207" t="str">
        <f t="shared" ca="1" si="23"/>
        <v>Ejby</v>
      </c>
      <c r="Q29" s="207" t="str">
        <f t="shared" ca="1" si="23"/>
        <v>Bogense</v>
      </c>
      <c r="R29" s="208">
        <v>43835</v>
      </c>
      <c r="S29" s="209" t="s">
        <v>33</v>
      </c>
      <c r="T29" s="210">
        <v>1</v>
      </c>
      <c r="U29" s="211">
        <v>4</v>
      </c>
      <c r="V29" s="212">
        <v>2</v>
      </c>
      <c r="W29" s="213">
        <f t="shared" si="24"/>
        <v>3</v>
      </c>
      <c r="X29" s="213">
        <f t="shared" si="25"/>
        <v>0</v>
      </c>
    </row>
    <row r="30" spans="1:24" ht="18" thickBot="1" x14ac:dyDescent="0.4">
      <c r="A30" s="13"/>
      <c r="B30" s="14"/>
      <c r="C30" s="67" t="s">
        <v>135</v>
      </c>
      <c r="D30" s="66">
        <f t="shared" si="26"/>
        <v>0</v>
      </c>
      <c r="E30" s="67">
        <v>12</v>
      </c>
      <c r="F30" s="68">
        <f t="shared" si="19"/>
        <v>4</v>
      </c>
      <c r="G30" s="68">
        <f t="shared" si="20"/>
        <v>5</v>
      </c>
      <c r="H30" s="69" t="str">
        <f t="shared" si="21"/>
        <v>T_04</v>
      </c>
      <c r="I30" s="69" t="str">
        <f t="shared" si="22"/>
        <v>T_03</v>
      </c>
      <c r="J30" s="69">
        <v>3</v>
      </c>
      <c r="K30" s="70">
        <f t="shared" si="27"/>
        <v>43835</v>
      </c>
      <c r="L30" s="71"/>
      <c r="O30" s="124">
        <v>12</v>
      </c>
      <c r="P30" s="124" t="str">
        <f t="shared" ca="1" si="23"/>
        <v>Dragør</v>
      </c>
      <c r="Q30" s="124" t="str">
        <f t="shared" ca="1" si="23"/>
        <v>Christiansfelt</v>
      </c>
      <c r="R30" s="135">
        <v>43835</v>
      </c>
      <c r="S30" s="125" t="str">
        <f>IFERROR(S29+mMin,"-")</f>
        <v>-</v>
      </c>
      <c r="T30" s="149">
        <v>2</v>
      </c>
      <c r="U30" s="150">
        <v>2</v>
      </c>
      <c r="V30" s="151">
        <v>1</v>
      </c>
      <c r="W30" s="126">
        <f t="shared" si="24"/>
        <v>3</v>
      </c>
      <c r="X30" s="126">
        <f t="shared" si="25"/>
        <v>0</v>
      </c>
    </row>
    <row r="31" spans="1:24" ht="17.399999999999999" x14ac:dyDescent="0.35">
      <c r="A31" s="13"/>
      <c r="B31" s="14"/>
      <c r="C31" s="63" t="s">
        <v>146</v>
      </c>
      <c r="D31" s="62">
        <f t="shared" si="26"/>
        <v>0</v>
      </c>
      <c r="E31" s="63">
        <v>13</v>
      </c>
      <c r="F31" s="51">
        <f t="shared" si="19"/>
        <v>6</v>
      </c>
      <c r="G31" s="51">
        <f t="shared" si="20"/>
        <v>2</v>
      </c>
      <c r="H31" s="64" t="str">
        <f t="shared" si="21"/>
        <v>T_01</v>
      </c>
      <c r="I31" s="64" t="str">
        <f t="shared" si="22"/>
        <v>T_05</v>
      </c>
      <c r="J31" s="64">
        <v>4</v>
      </c>
      <c r="K31" s="65">
        <f t="shared" si="27"/>
        <v>43836</v>
      </c>
      <c r="L31" s="71"/>
      <c r="O31" s="193">
        <v>13</v>
      </c>
      <c r="P31" s="193" t="str">
        <f t="shared" ca="1" si="23"/>
        <v>Assens</v>
      </c>
      <c r="Q31" s="193" t="str">
        <f t="shared" ca="1" si="23"/>
        <v>Ejby</v>
      </c>
      <c r="R31" s="194">
        <v>43836</v>
      </c>
      <c r="S31" s="195" t="s">
        <v>33</v>
      </c>
      <c r="T31" s="196">
        <v>1</v>
      </c>
      <c r="U31" s="197">
        <v>2</v>
      </c>
      <c r="V31" s="198">
        <v>4</v>
      </c>
      <c r="W31" s="199">
        <f t="shared" si="24"/>
        <v>0</v>
      </c>
      <c r="X31" s="199">
        <f t="shared" si="25"/>
        <v>3</v>
      </c>
    </row>
    <row r="32" spans="1:24" ht="18" thickBot="1" x14ac:dyDescent="0.4">
      <c r="A32" s="13"/>
      <c r="B32" s="14"/>
      <c r="C32" s="56" t="s">
        <v>140</v>
      </c>
      <c r="D32" s="57">
        <f t="shared" si="26"/>
        <v>0</v>
      </c>
      <c r="E32" s="56">
        <v>14</v>
      </c>
      <c r="F32" s="58">
        <f t="shared" si="19"/>
        <v>3</v>
      </c>
      <c r="G32" s="58">
        <f t="shared" si="20"/>
        <v>4</v>
      </c>
      <c r="H32" s="59" t="str">
        <f t="shared" si="21"/>
        <v>T_03</v>
      </c>
      <c r="I32" s="59" t="str">
        <f t="shared" si="22"/>
        <v>T_02</v>
      </c>
      <c r="J32" s="59">
        <v>4</v>
      </c>
      <c r="K32" s="60">
        <f t="shared" si="27"/>
        <v>43836</v>
      </c>
      <c r="L32" s="71"/>
      <c r="O32" s="124">
        <v>14</v>
      </c>
      <c r="P32" s="124" t="str">
        <f t="shared" ca="1" si="23"/>
        <v>Christiansfelt</v>
      </c>
      <c r="Q32" s="124" t="str">
        <f t="shared" ca="1" si="23"/>
        <v>Bogense</v>
      </c>
      <c r="R32" s="135">
        <v>43836</v>
      </c>
      <c r="S32" s="125" t="str">
        <f>IFERROR(S31+mMin,"-")</f>
        <v>-</v>
      </c>
      <c r="T32" s="149">
        <v>2</v>
      </c>
      <c r="U32" s="150">
        <v>2</v>
      </c>
      <c r="V32" s="151">
        <v>1</v>
      </c>
      <c r="W32" s="126">
        <f t="shared" si="24"/>
        <v>3</v>
      </c>
      <c r="X32" s="126">
        <f t="shared" si="25"/>
        <v>0</v>
      </c>
    </row>
    <row r="33" spans="1:24" ht="18" thickBot="1" x14ac:dyDescent="0.4">
      <c r="A33" s="13"/>
      <c r="B33" s="14"/>
      <c r="C33" s="67" t="s">
        <v>151</v>
      </c>
      <c r="D33" s="66">
        <f t="shared" si="26"/>
        <v>0</v>
      </c>
      <c r="E33" s="67">
        <v>15</v>
      </c>
      <c r="F33" s="68">
        <f t="shared" si="19"/>
        <v>2</v>
      </c>
      <c r="G33" s="68">
        <f t="shared" si="20"/>
        <v>5</v>
      </c>
      <c r="H33" s="69" t="str">
        <f t="shared" si="21"/>
        <v>T_04</v>
      </c>
      <c r="I33" s="69" t="str">
        <f t="shared" si="22"/>
        <v>T_01</v>
      </c>
      <c r="J33" s="69">
        <v>4</v>
      </c>
      <c r="K33" s="70">
        <f t="shared" si="27"/>
        <v>43836</v>
      </c>
      <c r="L33" s="71"/>
      <c r="O33" s="193">
        <v>15</v>
      </c>
      <c r="P33" s="193" t="str">
        <f t="shared" ca="1" si="23"/>
        <v>Dragør</v>
      </c>
      <c r="Q33" s="193" t="str">
        <f t="shared" ca="1" si="23"/>
        <v>Assens</v>
      </c>
      <c r="R33" s="194">
        <v>43836</v>
      </c>
      <c r="S33" s="195" t="s">
        <v>33</v>
      </c>
      <c r="T33" s="196">
        <v>1</v>
      </c>
      <c r="U33" s="197">
        <v>1</v>
      </c>
      <c r="V33" s="198">
        <v>5</v>
      </c>
      <c r="W33" s="199">
        <f t="shared" si="24"/>
        <v>0</v>
      </c>
      <c r="X33" s="199">
        <f t="shared" si="25"/>
        <v>3</v>
      </c>
    </row>
    <row r="34" spans="1:24" ht="18" thickBot="1" x14ac:dyDescent="0.4">
      <c r="A34" s="13"/>
      <c r="B34" s="14"/>
      <c r="C34" s="63" t="s">
        <v>152</v>
      </c>
      <c r="D34" s="62">
        <f t="shared" si="26"/>
        <v>0</v>
      </c>
      <c r="E34" s="63">
        <v>16</v>
      </c>
      <c r="F34" s="51">
        <f t="shared" si="19"/>
        <v>6</v>
      </c>
      <c r="G34" s="51">
        <f t="shared" si="20"/>
        <v>4</v>
      </c>
      <c r="H34" s="64" t="str">
        <f t="shared" si="21"/>
        <v>T_03</v>
      </c>
      <c r="I34" s="64" t="str">
        <f t="shared" si="22"/>
        <v>T_05</v>
      </c>
      <c r="J34" s="64">
        <v>5</v>
      </c>
      <c r="K34" s="65">
        <f t="shared" si="27"/>
        <v>43837</v>
      </c>
      <c r="L34" s="71"/>
      <c r="O34" s="124">
        <v>16</v>
      </c>
      <c r="P34" s="124" t="str">
        <f t="shared" ca="1" si="23"/>
        <v>Christiansfelt</v>
      </c>
      <c r="Q34" s="124" t="str">
        <f t="shared" ca="1" si="23"/>
        <v>Ejby</v>
      </c>
      <c r="R34" s="135">
        <v>43837</v>
      </c>
      <c r="S34" s="125" t="str">
        <f>IFERROR(S33+mMin,"-")</f>
        <v>-</v>
      </c>
      <c r="T34" s="149">
        <v>1</v>
      </c>
      <c r="U34" s="150">
        <v>4</v>
      </c>
      <c r="V34" s="151">
        <v>2</v>
      </c>
      <c r="W34" s="126">
        <f t="shared" si="24"/>
        <v>3</v>
      </c>
      <c r="X34" s="126">
        <f t="shared" si="25"/>
        <v>0</v>
      </c>
    </row>
    <row r="35" spans="1:24" ht="17.399999999999999" x14ac:dyDescent="0.35">
      <c r="A35" s="13"/>
      <c r="B35" s="14"/>
      <c r="C35" s="56" t="s">
        <v>156</v>
      </c>
      <c r="D35" s="57">
        <f t="shared" si="26"/>
        <v>1</v>
      </c>
      <c r="E35" s="56">
        <v>17</v>
      </c>
      <c r="F35" s="58">
        <f t="shared" si="19"/>
        <v>4</v>
      </c>
      <c r="G35" s="58">
        <f t="shared" si="20"/>
        <v>2</v>
      </c>
      <c r="H35" s="59" t="str">
        <f t="shared" si="21"/>
        <v>T_01</v>
      </c>
      <c r="I35" s="59" t="str">
        <f t="shared" si="22"/>
        <v>T_03</v>
      </c>
      <c r="J35" s="59">
        <v>5</v>
      </c>
      <c r="K35" s="60">
        <f t="shared" si="27"/>
        <v>43837</v>
      </c>
      <c r="L35" s="71"/>
      <c r="O35" s="193">
        <v>17</v>
      </c>
      <c r="P35" s="193" t="str">
        <f t="shared" ca="1" si="23"/>
        <v>Assens</v>
      </c>
      <c r="Q35" s="193" t="str">
        <f t="shared" ca="1" si="23"/>
        <v>Christiansfelt</v>
      </c>
      <c r="R35" s="194">
        <v>43837</v>
      </c>
      <c r="S35" s="195" t="s">
        <v>33</v>
      </c>
      <c r="T35" s="196">
        <v>2</v>
      </c>
      <c r="U35" s="197">
        <v>2</v>
      </c>
      <c r="V35" s="198">
        <v>1</v>
      </c>
      <c r="W35" s="199">
        <f t="shared" si="24"/>
        <v>3</v>
      </c>
      <c r="X35" s="199">
        <f t="shared" si="25"/>
        <v>0</v>
      </c>
    </row>
    <row r="36" spans="1:24" ht="18" thickBot="1" x14ac:dyDescent="0.4">
      <c r="A36" s="13"/>
      <c r="B36" s="14"/>
      <c r="C36" s="67" t="s">
        <v>157</v>
      </c>
      <c r="D36" s="66">
        <f t="shared" si="26"/>
        <v>0</v>
      </c>
      <c r="E36" s="67">
        <v>18</v>
      </c>
      <c r="F36" s="68">
        <f t="shared" si="19"/>
        <v>5</v>
      </c>
      <c r="G36" s="68">
        <f t="shared" si="20"/>
        <v>3</v>
      </c>
      <c r="H36" s="69" t="str">
        <f t="shared" si="21"/>
        <v>T_02</v>
      </c>
      <c r="I36" s="69" t="str">
        <f t="shared" si="22"/>
        <v>T_04</v>
      </c>
      <c r="J36" s="69">
        <v>5</v>
      </c>
      <c r="K36" s="70">
        <f t="shared" si="27"/>
        <v>43837</v>
      </c>
      <c r="L36" s="71"/>
      <c r="O36" s="124">
        <v>18</v>
      </c>
      <c r="P36" s="124" t="str">
        <f t="shared" ca="1" si="23"/>
        <v>Bogense</v>
      </c>
      <c r="Q36" s="124" t="str">
        <f t="shared" ca="1" si="23"/>
        <v>Dragør</v>
      </c>
      <c r="R36" s="135">
        <v>43837</v>
      </c>
      <c r="S36" s="125" t="str">
        <f>IFERROR(S35+mMin,"-")</f>
        <v>-</v>
      </c>
      <c r="T36" s="149">
        <v>1</v>
      </c>
      <c r="U36" s="150">
        <v>2</v>
      </c>
      <c r="V36" s="151">
        <v>4</v>
      </c>
      <c r="W36" s="126">
        <f t="shared" si="24"/>
        <v>0</v>
      </c>
      <c r="X36" s="126">
        <f t="shared" si="25"/>
        <v>3</v>
      </c>
    </row>
    <row r="37" spans="1:24" ht="17.399999999999999" x14ac:dyDescent="0.35">
      <c r="A37" s="13"/>
      <c r="B37" s="14"/>
      <c r="C37" s="63" t="s">
        <v>161</v>
      </c>
      <c r="D37" s="62">
        <f t="shared" si="26"/>
        <v>1</v>
      </c>
      <c r="E37" s="63">
        <v>19</v>
      </c>
      <c r="F37" s="51">
        <f t="shared" si="19"/>
        <v>2</v>
      </c>
      <c r="G37" s="51">
        <f t="shared" si="20"/>
        <v>3</v>
      </c>
      <c r="H37" s="64" t="str">
        <f t="shared" si="21"/>
        <v>T_02</v>
      </c>
      <c r="I37" s="64" t="str">
        <f t="shared" si="22"/>
        <v>T_01</v>
      </c>
      <c r="J37" s="64">
        <v>6</v>
      </c>
      <c r="K37" s="65">
        <f t="shared" si="27"/>
        <v>43838</v>
      </c>
      <c r="L37" s="71"/>
      <c r="O37" s="193">
        <v>19</v>
      </c>
      <c r="P37" s="193" t="str">
        <f t="shared" ca="1" si="23"/>
        <v>Bogense</v>
      </c>
      <c r="Q37" s="193" t="str">
        <f t="shared" ca="1" si="23"/>
        <v>Assens</v>
      </c>
      <c r="R37" s="194">
        <v>43838</v>
      </c>
      <c r="S37" s="195" t="s">
        <v>33</v>
      </c>
      <c r="T37" s="196">
        <v>2</v>
      </c>
      <c r="U37" s="197">
        <v>2</v>
      </c>
      <c r="V37" s="198">
        <v>5</v>
      </c>
      <c r="W37" s="199">
        <f t="shared" si="24"/>
        <v>0</v>
      </c>
      <c r="X37" s="199">
        <f t="shared" si="25"/>
        <v>3</v>
      </c>
    </row>
    <row r="38" spans="1:24" ht="18" thickBot="1" x14ac:dyDescent="0.4">
      <c r="A38" s="13"/>
      <c r="B38" s="14"/>
      <c r="C38" s="56" t="s">
        <v>130</v>
      </c>
      <c r="D38" s="57">
        <f t="shared" si="26"/>
        <v>0</v>
      </c>
      <c r="E38" s="56">
        <v>20</v>
      </c>
      <c r="F38" s="58">
        <f t="shared" si="19"/>
        <v>5</v>
      </c>
      <c r="G38" s="58">
        <f t="shared" si="20"/>
        <v>6</v>
      </c>
      <c r="H38" s="59" t="str">
        <f t="shared" si="21"/>
        <v>T_05</v>
      </c>
      <c r="I38" s="59" t="str">
        <f t="shared" si="22"/>
        <v>T_04</v>
      </c>
      <c r="J38" s="59">
        <v>6</v>
      </c>
      <c r="K38" s="60">
        <f t="shared" si="27"/>
        <v>43838</v>
      </c>
      <c r="L38" s="71"/>
      <c r="O38" s="124">
        <v>20</v>
      </c>
      <c r="P38" s="124" t="str">
        <f t="shared" ca="1" si="23"/>
        <v>Ejby</v>
      </c>
      <c r="Q38" s="124" t="str">
        <f t="shared" ca="1" si="23"/>
        <v>Dragør</v>
      </c>
      <c r="R38" s="135">
        <v>43838</v>
      </c>
      <c r="S38" s="125" t="str">
        <f>IFERROR(S37+mMin,"-")</f>
        <v>-</v>
      </c>
      <c r="T38" s="149">
        <v>1</v>
      </c>
      <c r="U38" s="150">
        <v>1</v>
      </c>
      <c r="V38" s="151">
        <v>5</v>
      </c>
      <c r="W38" s="126">
        <f t="shared" si="24"/>
        <v>0</v>
      </c>
      <c r="X38" s="126">
        <f t="shared" si="25"/>
        <v>3</v>
      </c>
    </row>
    <row r="39" spans="1:24" ht="18" thickBot="1" x14ac:dyDescent="0.4">
      <c r="H39" s="19" t="s">
        <v>34</v>
      </c>
      <c r="I39" s="19" t="s">
        <v>35</v>
      </c>
      <c r="J39" s="15"/>
      <c r="K39" s="17"/>
      <c r="L39" s="71"/>
      <c r="P39" s="92"/>
      <c r="Q39" s="92"/>
      <c r="R39" s="92"/>
      <c r="S39" s="5"/>
      <c r="T39" s="5"/>
      <c r="U39" s="16"/>
      <c r="V39" s="185"/>
    </row>
    <row r="40" spans="1:24" ht="18" thickBot="1" x14ac:dyDescent="0.4">
      <c r="H40" s="20" t="str">
        <f>IF(ISNUMBER(U40),IF(U40&gt;V40,P40,Q40),"")</f>
        <v/>
      </c>
      <c r="I40" s="20" t="str">
        <f>IF(ISNUMBER(U40),IF(H40=P40,Q40,P40),"")</f>
        <v/>
      </c>
      <c r="J40" s="15">
        <v>10</v>
      </c>
      <c r="K40" s="17">
        <f t="shared" si="27"/>
        <v>43842</v>
      </c>
      <c r="L40" s="71"/>
      <c r="O40" s="89" t="s">
        <v>64</v>
      </c>
      <c r="P40" s="90"/>
      <c r="Q40" s="90"/>
      <c r="R40" s="174">
        <v>41660</v>
      </c>
      <c r="S40" s="175">
        <v>0.54166666666666663</v>
      </c>
      <c r="T40" s="176">
        <v>2</v>
      </c>
      <c r="U40" s="177"/>
      <c r="V40" s="178"/>
      <c r="W40" s="21" t="str">
        <f t="shared" ref="W40" si="28">IF(ISNUMBER(U40)*ISNUMBER(V40),IF(U40&gt;V40,ptv, IF(U40=V40,ptu,ptt)),"-")</f>
        <v>-</v>
      </c>
      <c r="X40" s="21" t="str">
        <f t="shared" ref="X40" si="29">IF(ISNUMBER(U40)*ISNUMBER(V40),IF(W40=ptv,ptt,IF(W40=ptu,ptu,ptv)),"-")</f>
        <v>-</v>
      </c>
    </row>
    <row r="41" spans="1:24" ht="15" thickBot="1" x14ac:dyDescent="0.25">
      <c r="H41" s="19" t="s">
        <v>36</v>
      </c>
      <c r="I41" s="19" t="s">
        <v>37</v>
      </c>
      <c r="J41" s="15"/>
      <c r="K41" s="17"/>
      <c r="L41" s="71"/>
      <c r="P41" s="92"/>
      <c r="Q41" s="92"/>
      <c r="R41" s="92"/>
      <c r="S41" s="5"/>
      <c r="T41" s="5"/>
      <c r="U41" s="5"/>
      <c r="V41" s="94"/>
    </row>
    <row r="42" spans="1:24" ht="18" thickBot="1" x14ac:dyDescent="0.4">
      <c r="H42" s="20" t="str">
        <f>IF(ISNUMBER(U42),IF(U42&gt;V42,P42,Q42),"")</f>
        <v/>
      </c>
      <c r="I42" s="20" t="str">
        <f>IF(ISNUMBER(U42),IF(H42=P42,Q42,P42),"")</f>
        <v/>
      </c>
      <c r="J42" s="15">
        <v>11</v>
      </c>
      <c r="K42" s="17">
        <f t="shared" si="27"/>
        <v>43843</v>
      </c>
      <c r="L42" s="71"/>
      <c r="O42" s="88" t="s">
        <v>175</v>
      </c>
      <c r="P42" s="90"/>
      <c r="Q42" s="90"/>
      <c r="R42" s="174">
        <v>41661</v>
      </c>
      <c r="S42" s="175">
        <v>0.54166666666666663</v>
      </c>
      <c r="T42" s="176">
        <v>2</v>
      </c>
      <c r="U42" s="177"/>
      <c r="V42" s="178"/>
      <c r="W42" s="21" t="str">
        <f t="shared" ref="W42" si="30">IF(ISNUMBER(U42)*ISNUMBER(V42),IF(U42&gt;V42,ptv, IF(U42=V42,ptu,ptt)),"-")</f>
        <v>-</v>
      </c>
      <c r="X42" s="21" t="str">
        <f t="shared" ref="X42" si="31">IF(ISNUMBER(U42)*ISNUMBER(V42),IF(W42=ptv,ptt,IF(W42=ptu,ptu,ptv)),"-")</f>
        <v>-</v>
      </c>
    </row>
    <row r="43" spans="1:24" ht="14.4" x14ac:dyDescent="0.2">
      <c r="L43" s="71"/>
    </row>
  </sheetData>
  <sheetProtection sheet="1" objects="1" scenarios="1"/>
  <conditionalFormatting sqref="D20:D21">
    <cfRule type="expression" dxfId="68" priority="4">
      <formula>D20=1</formula>
    </cfRule>
  </conditionalFormatting>
  <conditionalFormatting sqref="D22:D38">
    <cfRule type="expression" dxfId="67" priority="3">
      <formula>D22=1</formula>
    </cfRule>
  </conditionalFormatting>
  <conditionalFormatting sqref="B12:F16">
    <cfRule type="duplicateValues" dxfId="66" priority="69"/>
    <cfRule type="expression" dxfId="65" priority="70">
      <formula>AND(B12&lt;=$E$9,ISNUMBER(B12))</formula>
    </cfRule>
  </conditionalFormatting>
  <conditionalFormatting sqref="L3:L7">
    <cfRule type="duplicateValues" dxfId="64" priority="73"/>
  </conditionalFormatting>
  <conditionalFormatting sqref="M3:M7">
    <cfRule type="duplicateValues" dxfId="63" priority="74"/>
  </conditionalFormatting>
  <dataValidations disablePrompts="1" count="1">
    <dataValidation type="list" allowBlank="1" showInputMessage="1" showErrorMessage="1" sqref="P40:Q40 P42:Q42" xr:uid="{2A2922D5-212A-4A51-B62B-6EEF7EFBF227}">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grp06x1">
    <tabColor rgb="FF00B0F0"/>
    <outlinePr showOutlineSymbols="0"/>
    <pageSetUpPr fitToPage="1"/>
  </sheetPr>
  <dimension ref="A1:X40"/>
  <sheetViews>
    <sheetView showGridLines="0" showRowColHeaders="0" showOutlineSymbols="0" zoomScaleNormal="100" zoomScaleSheetLayoutView="100" workbookViewId="0">
      <pane ySplit="20" topLeftCell="A21" activePane="bottomLeft" state="frozen"/>
      <selection activeCell="L43" sqref="L43"/>
      <selection pane="bottomLeft" activeCell="P21" sqref="P21"/>
    </sheetView>
  </sheetViews>
  <sheetFormatPr defaultColWidth="9" defaultRowHeight="12.6" outlineLevelRow="1" outlineLevelCol="1" x14ac:dyDescent="0.2"/>
  <cols>
    <col min="1" max="7" width="9"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5.63281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I1" s="183"/>
      <c r="J1" s="183"/>
      <c r="K1" s="183"/>
      <c r="L1" t="s">
        <v>192</v>
      </c>
      <c r="M1" s="183"/>
      <c r="O1"/>
      <c r="P1"/>
      <c r="Q1"/>
      <c r="R1"/>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c r="O2"/>
      <c r="P2"/>
      <c r="Q2"/>
      <c r="R2"/>
    </row>
    <row r="3" spans="1:24" hidden="1" outlineLevel="1" x14ac:dyDescent="0.2">
      <c r="A3" s="103">
        <v>1</v>
      </c>
      <c r="B3" s="103" t="str">
        <f t="shared" ref="B3:B8" si="0">INDEX(xTeams,A3,1)</f>
        <v>Assens</v>
      </c>
      <c r="C3" s="96">
        <f t="shared" ref="C3" ca="1" si="1">SUMIF(team1,teams,goals1)+SUMIF(team2,teams,goals2)</f>
        <v>12</v>
      </c>
      <c r="D3" s="96">
        <f t="shared" ref="D3" ca="1" si="2">SUMIF(team1,teams,goals2)+SUMIF(team2,teams,goals1)</f>
        <v>19</v>
      </c>
      <c r="E3" s="104">
        <f t="shared" ref="E3:E8" ca="1" si="3">SUMIFS(
   points1,team1,teams
) +
  SUMIFS(points2,team2,teams)</f>
        <v>3</v>
      </c>
      <c r="F3" s="96">
        <f t="shared" ref="F3:F8" ca="1" si="4">C3-D3</f>
        <v>-7</v>
      </c>
      <c r="G3" s="96">
        <f t="shared" ref="G3:G8" ca="1" si="5">COUNTIFS(team1,$B3,points1,"&gt;=0")+COUNTIFS(team2,$B3,points2,"&gt;=0")</f>
        <v>5</v>
      </c>
      <c r="H3" s="105">
        <f ca="1">IF(G3=0,1,0)</f>
        <v>0</v>
      </c>
      <c r="I3" s="105">
        <f ca="1">RANK($E3,$E$3:$E$8,0)</f>
        <v>6</v>
      </c>
      <c r="J3" s="98">
        <f ca="1">RANK($F3,$F$3:$F$8,0)/10</f>
        <v>0.5</v>
      </c>
      <c r="K3" s="99">
        <f ca="1">RANK($C3,$C$3:$C$8,0)/100</f>
        <v>0.06</v>
      </c>
      <c r="L3" s="99">
        <f ca="1">SUM(H3:K3)</f>
        <v>6.56</v>
      </c>
      <c r="M3" s="96">
        <f ca="1">RANK($L3,$L$3:$L$8,1) + COUNTIF($L$3:$L3,$L3)-1</f>
        <v>6</v>
      </c>
      <c r="O3"/>
      <c r="P3"/>
      <c r="Q3"/>
      <c r="R3"/>
    </row>
    <row r="4" spans="1:24" hidden="1" outlineLevel="1" x14ac:dyDescent="0.2">
      <c r="A4" s="103">
        <v>2</v>
      </c>
      <c r="B4" s="103" t="str">
        <f t="shared" si="0"/>
        <v>Bogense</v>
      </c>
      <c r="C4" s="96">
        <f t="shared" ref="C4:C8" ca="1" si="6">SUMIF(team1,teams,goals1)+SUMIF(team2,teams,goals2)</f>
        <v>21</v>
      </c>
      <c r="D4" s="96">
        <f t="shared" ref="D4:D8" ca="1" si="7">SUMIF(team1,teams,goals2)+SUMIF(team2,teams,goals1)</f>
        <v>15</v>
      </c>
      <c r="E4" s="104">
        <f t="shared" ca="1" si="3"/>
        <v>7</v>
      </c>
      <c r="F4" s="96">
        <f t="shared" ca="1" si="4"/>
        <v>6</v>
      </c>
      <c r="G4" s="96">
        <f t="shared" ca="1" si="5"/>
        <v>5</v>
      </c>
      <c r="H4" s="105">
        <f t="shared" ref="H4:H8" ca="1" si="8">IF(G4=0,1,0)</f>
        <v>0</v>
      </c>
      <c r="I4" s="105">
        <f t="shared" ref="I4:I8" ca="1" si="9">RANK($E4,$E$3:$E$8,0)</f>
        <v>4</v>
      </c>
      <c r="J4" s="98">
        <f t="shared" ref="J4:J8" ca="1" si="10">RANK($F4,$F$3:$F$8,0)/10</f>
        <v>0.1</v>
      </c>
      <c r="K4" s="99">
        <f t="shared" ref="K4:K8" ca="1" si="11">RANK($C4,$C$3:$C$8,0)/100</f>
        <v>0.01</v>
      </c>
      <c r="L4" s="99">
        <f t="shared" ref="L4:L8" ca="1" si="12">SUM(H4:K4)</f>
        <v>4.1099999999999994</v>
      </c>
      <c r="M4" s="96">
        <f ca="1">RANK($L4,$L$3:$L$8,1) + COUNTIF($L$3:$L4,$L4)-1</f>
        <v>4</v>
      </c>
      <c r="O4"/>
      <c r="P4"/>
      <c r="Q4"/>
      <c r="R4"/>
    </row>
    <row r="5" spans="1:24" hidden="1" outlineLevel="1" x14ac:dyDescent="0.2">
      <c r="A5" s="103">
        <v>3</v>
      </c>
      <c r="B5" s="103" t="str">
        <f t="shared" si="0"/>
        <v>Christiansfelt</v>
      </c>
      <c r="C5" s="96">
        <f t="shared" ca="1" si="6"/>
        <v>17</v>
      </c>
      <c r="D5" s="96">
        <f t="shared" ca="1" si="7"/>
        <v>13</v>
      </c>
      <c r="E5" s="104">
        <f t="shared" ca="1" si="3"/>
        <v>9</v>
      </c>
      <c r="F5" s="96">
        <f t="shared" ca="1" si="4"/>
        <v>4</v>
      </c>
      <c r="G5" s="96">
        <f t="shared" ca="1" si="5"/>
        <v>5</v>
      </c>
      <c r="H5" s="105">
        <f t="shared" ca="1" si="8"/>
        <v>0</v>
      </c>
      <c r="I5" s="105">
        <f t="shared" ca="1" si="9"/>
        <v>2</v>
      </c>
      <c r="J5" s="98">
        <f t="shared" ca="1" si="10"/>
        <v>0.2</v>
      </c>
      <c r="K5" s="99">
        <f t="shared" ca="1" si="11"/>
        <v>0.02</v>
      </c>
      <c r="L5" s="99">
        <f t="shared" ca="1" si="12"/>
        <v>2.2200000000000002</v>
      </c>
      <c r="M5" s="96">
        <f ca="1">RANK($L5,$L$3:$L$8,1) + COUNTIF($L$3:$L5,$L5)-1</f>
        <v>2</v>
      </c>
      <c r="O5"/>
      <c r="P5"/>
      <c r="Q5"/>
      <c r="R5"/>
    </row>
    <row r="6" spans="1:24" hidden="1" outlineLevel="1" x14ac:dyDescent="0.2">
      <c r="A6" s="103">
        <v>4</v>
      </c>
      <c r="B6" s="103" t="str">
        <f t="shared" si="0"/>
        <v>Dragør</v>
      </c>
      <c r="C6" s="96">
        <f t="shared" ca="1" si="6"/>
        <v>13</v>
      </c>
      <c r="D6" s="96">
        <f t="shared" ca="1" si="7"/>
        <v>20</v>
      </c>
      <c r="E6" s="104">
        <f t="shared" ca="1" si="3"/>
        <v>6</v>
      </c>
      <c r="F6" s="96">
        <f t="shared" ca="1" si="4"/>
        <v>-7</v>
      </c>
      <c r="G6" s="96">
        <f t="shared" ca="1" si="5"/>
        <v>5</v>
      </c>
      <c r="H6" s="105">
        <f t="shared" ca="1" si="8"/>
        <v>0</v>
      </c>
      <c r="I6" s="105">
        <f t="shared" ca="1" si="9"/>
        <v>5</v>
      </c>
      <c r="J6" s="98">
        <f t="shared" ca="1" si="10"/>
        <v>0.5</v>
      </c>
      <c r="K6" s="99">
        <f t="shared" ca="1" si="11"/>
        <v>0.05</v>
      </c>
      <c r="L6" s="99">
        <f t="shared" ca="1" si="12"/>
        <v>5.55</v>
      </c>
      <c r="M6" s="96">
        <f ca="1">RANK($L6,$L$3:$L$8,1) + COUNTIF($L$3:$L6,$L6)-1</f>
        <v>5</v>
      </c>
      <c r="O6"/>
      <c r="P6"/>
      <c r="Q6"/>
      <c r="R6"/>
    </row>
    <row r="7" spans="1:24" hidden="1" outlineLevel="1" x14ac:dyDescent="0.2">
      <c r="A7" s="103">
        <v>5</v>
      </c>
      <c r="B7" s="103" t="str">
        <f t="shared" si="0"/>
        <v>Ejby</v>
      </c>
      <c r="C7" s="96">
        <f t="shared" ca="1" si="6"/>
        <v>17</v>
      </c>
      <c r="D7" s="96">
        <f t="shared" ca="1" si="7"/>
        <v>14</v>
      </c>
      <c r="E7" s="104">
        <f t="shared" ca="1" si="3"/>
        <v>10</v>
      </c>
      <c r="F7" s="96">
        <f t="shared" ca="1" si="4"/>
        <v>3</v>
      </c>
      <c r="G7" s="96">
        <f t="shared" ca="1" si="5"/>
        <v>5</v>
      </c>
      <c r="H7" s="105">
        <f t="shared" ca="1" si="8"/>
        <v>0</v>
      </c>
      <c r="I7" s="105">
        <f t="shared" ca="1" si="9"/>
        <v>1</v>
      </c>
      <c r="J7" s="98">
        <f t="shared" ca="1" si="10"/>
        <v>0.3</v>
      </c>
      <c r="K7" s="99">
        <f t="shared" ca="1" si="11"/>
        <v>0.02</v>
      </c>
      <c r="L7" s="99">
        <f t="shared" ca="1" si="12"/>
        <v>1.32</v>
      </c>
      <c r="M7" s="96">
        <f ca="1">RANK($L7,$L$3:$L$8,1) + COUNTIF($L$3:$L7,$L7)-1</f>
        <v>1</v>
      </c>
      <c r="O7"/>
      <c r="P7"/>
      <c r="Q7"/>
      <c r="R7"/>
    </row>
    <row r="8" spans="1:24" hidden="1" outlineLevel="1" x14ac:dyDescent="0.2">
      <c r="A8" s="103">
        <v>6</v>
      </c>
      <c r="B8" s="103" t="str">
        <f t="shared" si="0"/>
        <v>Fjerritslev</v>
      </c>
      <c r="C8" s="96">
        <f t="shared" ca="1" si="6"/>
        <v>16</v>
      </c>
      <c r="D8" s="96">
        <f t="shared" ca="1" si="7"/>
        <v>15</v>
      </c>
      <c r="E8" s="104">
        <f t="shared" ca="1" si="3"/>
        <v>9</v>
      </c>
      <c r="F8" s="96">
        <f t="shared" ca="1" si="4"/>
        <v>1</v>
      </c>
      <c r="G8" s="96">
        <f t="shared" ca="1" si="5"/>
        <v>5</v>
      </c>
      <c r="H8" s="105">
        <f t="shared" ca="1" si="8"/>
        <v>0</v>
      </c>
      <c r="I8" s="105">
        <f t="shared" ca="1" si="9"/>
        <v>2</v>
      </c>
      <c r="J8" s="98">
        <f t="shared" ca="1" si="10"/>
        <v>0.4</v>
      </c>
      <c r="K8" s="99">
        <f t="shared" ca="1" si="11"/>
        <v>0.04</v>
      </c>
      <c r="L8" s="99">
        <f t="shared" ca="1" si="12"/>
        <v>2.44</v>
      </c>
      <c r="M8" s="96">
        <f ca="1">RANK($L8,$L$3:$L$8,1) + COUNTIF($L$3:$L8,$L8)-1</f>
        <v>3</v>
      </c>
      <c r="O8"/>
      <c r="P8"/>
      <c r="Q8"/>
      <c r="R8"/>
    </row>
    <row r="9" spans="1:24" ht="13.2" collapsed="1" thickBot="1" x14ac:dyDescent="0.25">
      <c r="O9"/>
      <c r="P9"/>
      <c r="Q9"/>
      <c r="R9"/>
    </row>
    <row r="10" spans="1:24" s="4" customFormat="1" ht="24" thickBot="1" x14ac:dyDescent="0.5">
      <c r="A10" s="42" t="s">
        <v>168</v>
      </c>
      <c r="B10" s="74">
        <v>6</v>
      </c>
      <c r="C10" s="72"/>
      <c r="D10" s="73" t="s">
        <v>65</v>
      </c>
      <c r="E10" s="74">
        <f>(B10/2)*(B10-1)</f>
        <v>15</v>
      </c>
      <c r="O10" s="75" t="str">
        <f>TurneringsNavn</f>
        <v>Forårsstævne</v>
      </c>
      <c r="P10" s="5"/>
      <c r="Q10" s="5"/>
      <c r="R10" s="5"/>
      <c r="S10" s="5"/>
      <c r="T10" s="5"/>
      <c r="U10" s="5"/>
      <c r="V10" s="5"/>
      <c r="W10" s="5"/>
      <c r="X10" s="5"/>
    </row>
    <row r="11" spans="1:24" ht="6.75" customHeight="1" x14ac:dyDescent="0.2">
      <c r="O11"/>
      <c r="P11"/>
      <c r="Q11"/>
      <c r="R11"/>
    </row>
    <row r="12" spans="1:24" ht="13.8" x14ac:dyDescent="0.25">
      <c r="B12" s="34" t="s">
        <v>66</v>
      </c>
      <c r="C12" s="34" t="s">
        <v>67</v>
      </c>
      <c r="D12" s="34" t="s">
        <v>68</v>
      </c>
      <c r="E12" s="34" t="s">
        <v>69</v>
      </c>
      <c r="F12" s="34" t="s">
        <v>70</v>
      </c>
      <c r="G12" s="34" t="s">
        <v>71</v>
      </c>
      <c r="H12" s="7" t="s">
        <v>2</v>
      </c>
      <c r="I12" s="6" t="s">
        <v>3</v>
      </c>
      <c r="J12" s="6" t="s">
        <v>4</v>
      </c>
      <c r="K12" s="6" t="s">
        <v>167</v>
      </c>
      <c r="O12" s="128" t="s">
        <v>198</v>
      </c>
      <c r="P12" s="129" t="s">
        <v>176</v>
      </c>
      <c r="Q12" s="129"/>
      <c r="R12" s="130" t="s">
        <v>5</v>
      </c>
      <c r="S12" s="128" t="s">
        <v>6</v>
      </c>
      <c r="T12" s="128" t="s">
        <v>7</v>
      </c>
      <c r="U12" s="128" t="s">
        <v>8</v>
      </c>
      <c r="V12" s="128" t="s">
        <v>9</v>
      </c>
      <c r="W12" s="128" t="s">
        <v>10</v>
      </c>
      <c r="X12" s="131" t="s">
        <v>177</v>
      </c>
    </row>
    <row r="13" spans="1:24" ht="17.399999999999999" x14ac:dyDescent="0.35">
      <c r="A13" s="6" t="s">
        <v>66</v>
      </c>
      <c r="B13" s="8"/>
      <c r="C13" s="9">
        <v>13</v>
      </c>
      <c r="D13" s="9"/>
      <c r="E13" s="9">
        <v>7</v>
      </c>
      <c r="F13" s="9"/>
      <c r="G13" s="9">
        <v>1</v>
      </c>
      <c r="H13" s="10" t="str">
        <f t="shared" ref="H13:H18" ca="1" si="13">IFERROR(CHOOSE((P13=H$39)*1+(P13=I$39)*2+(P13=H$37)*3,"Guld","Sølv","Bronze"),"")</f>
        <v/>
      </c>
      <c r="I13" s="11">
        <f t="shared" ref="I13:I18" ca="1" si="14">COUNTIF(team1,$B3)</f>
        <v>3</v>
      </c>
      <c r="J13" s="11">
        <f t="shared" ref="J13:J18" ca="1" si="15">COUNTIF(team2,$B3)</f>
        <v>2</v>
      </c>
      <c r="K13" s="11">
        <f ca="1">SUM(I13:J13)</f>
        <v>5</v>
      </c>
      <c r="O13" s="119">
        <v>1</v>
      </c>
      <c r="P13" s="120" t="str">
        <f ca="1" xml:space="preserve">  INDEX(teams,MATCH(rankNum,actRank,0))</f>
        <v>Ejby</v>
      </c>
      <c r="Q13" s="120"/>
      <c r="R13" s="127">
        <f t="shared" ref="R13:R18" ca="1" si="16">COUNTIFS(team1,teamName,points1,"&gt;=0")+COUNTIFS(team2,teamName,points2,"&gt;=0")</f>
        <v>5</v>
      </c>
      <c r="S13" s="143">
        <f t="shared" ref="S13:S18" ca="1" si="17">COUNTIFS(team1,teamName,points1,ptv)+COUNTIFS(team2,teamName,points2,ptv)</f>
        <v>3</v>
      </c>
      <c r="T13" s="121">
        <f t="shared" ref="T13:T18" ca="1" si="18">COUNTIFS(team1,teamName,points1,ptu)+COUNTIFS(team2,teamName,points2,ptu)</f>
        <v>1</v>
      </c>
      <c r="U13" s="121">
        <f t="shared" ref="U13:U18" ca="1" si="19">COUNTIFS(team1,teamName,points1,ptt)+COUNTIFS(team2,teamName,points2,ptt)</f>
        <v>1</v>
      </c>
      <c r="V13" s="143">
        <f t="shared" ref="V13:V18" ca="1" si="20">SUMIF(team1,teamName,goals1)+SUMIF(team2,teamName,goals2)</f>
        <v>17</v>
      </c>
      <c r="W13" s="121">
        <f t="shared" ref="W13:W18" ca="1" si="21">SUMIF(team1,teamName,goals2)+SUMIF(team2,teamName,goals1)</f>
        <v>14</v>
      </c>
      <c r="X13" s="144">
        <f t="shared" ref="X13:X18" ca="1" si="22">SUMIFS(points1,team1,teamName)+SUMIFS(points2,team2,teamName)</f>
        <v>10</v>
      </c>
    </row>
    <row r="14" spans="1:24" ht="17.399999999999999" x14ac:dyDescent="0.35">
      <c r="A14" s="6" t="s">
        <v>67</v>
      </c>
      <c r="B14" s="9"/>
      <c r="C14" s="8"/>
      <c r="D14" s="9">
        <v>6</v>
      </c>
      <c r="E14" s="9"/>
      <c r="F14" s="9">
        <v>2</v>
      </c>
      <c r="G14" s="9"/>
      <c r="H14" s="10" t="str">
        <f t="shared" ca="1" si="13"/>
        <v/>
      </c>
      <c r="I14" s="11">
        <f t="shared" ca="1" si="14"/>
        <v>2</v>
      </c>
      <c r="J14" s="11">
        <f t="shared" ca="1" si="15"/>
        <v>3</v>
      </c>
      <c r="K14" s="11">
        <f t="shared" ref="K14:K18" ca="1" si="23">SUM(I14:J14)</f>
        <v>5</v>
      </c>
      <c r="O14" s="119">
        <v>2</v>
      </c>
      <c r="P14" s="120" t="str">
        <f t="shared" ref="P14:P18" ca="1" si="24" xml:space="preserve">  INDEX(teams,MATCH(rankNum,actRank,0))</f>
        <v>Christiansfelt</v>
      </c>
      <c r="Q14" s="120"/>
      <c r="R14" s="127">
        <f t="shared" ca="1" si="16"/>
        <v>5</v>
      </c>
      <c r="S14" s="143">
        <f t="shared" ca="1" si="17"/>
        <v>3</v>
      </c>
      <c r="T14" s="121">
        <f t="shared" ca="1" si="18"/>
        <v>0</v>
      </c>
      <c r="U14" s="121">
        <f t="shared" ca="1" si="19"/>
        <v>2</v>
      </c>
      <c r="V14" s="143">
        <f t="shared" ca="1" si="20"/>
        <v>17</v>
      </c>
      <c r="W14" s="121">
        <f t="shared" ca="1" si="21"/>
        <v>13</v>
      </c>
      <c r="X14" s="144">
        <f t="shared" ca="1" si="22"/>
        <v>9</v>
      </c>
    </row>
    <row r="15" spans="1:24" ht="17.399999999999999" x14ac:dyDescent="0.35">
      <c r="A15" s="6" t="s">
        <v>68</v>
      </c>
      <c r="B15" s="9">
        <v>10</v>
      </c>
      <c r="C15" s="9"/>
      <c r="D15" s="8"/>
      <c r="E15" s="9">
        <v>3</v>
      </c>
      <c r="F15" s="9"/>
      <c r="G15" s="9">
        <v>14</v>
      </c>
      <c r="H15" s="10" t="str">
        <f t="shared" ca="1" si="13"/>
        <v/>
      </c>
      <c r="I15" s="11">
        <f t="shared" ca="1" si="14"/>
        <v>3</v>
      </c>
      <c r="J15" s="11">
        <f t="shared" ca="1" si="15"/>
        <v>2</v>
      </c>
      <c r="K15" s="11">
        <f t="shared" ca="1" si="23"/>
        <v>5</v>
      </c>
      <c r="O15" s="119">
        <v>3</v>
      </c>
      <c r="P15" s="120" t="str">
        <f t="shared" ca="1" si="24"/>
        <v>Fjerritslev</v>
      </c>
      <c r="Q15" s="120"/>
      <c r="R15" s="127">
        <f t="shared" ca="1" si="16"/>
        <v>5</v>
      </c>
      <c r="S15" s="143">
        <f t="shared" ca="1" si="17"/>
        <v>3</v>
      </c>
      <c r="T15" s="121">
        <f t="shared" ca="1" si="18"/>
        <v>0</v>
      </c>
      <c r="U15" s="121">
        <f t="shared" ca="1" si="19"/>
        <v>2</v>
      </c>
      <c r="V15" s="143">
        <f t="shared" ca="1" si="20"/>
        <v>16</v>
      </c>
      <c r="W15" s="121">
        <f t="shared" ca="1" si="21"/>
        <v>15</v>
      </c>
      <c r="X15" s="144">
        <f t="shared" ca="1" si="22"/>
        <v>9</v>
      </c>
    </row>
    <row r="16" spans="1:24" ht="17.399999999999999" x14ac:dyDescent="0.35">
      <c r="A16" s="6" t="s">
        <v>69</v>
      </c>
      <c r="B16" s="9"/>
      <c r="C16" s="9">
        <v>11</v>
      </c>
      <c r="D16" s="9"/>
      <c r="E16" s="8"/>
      <c r="F16" s="9">
        <v>15</v>
      </c>
      <c r="G16" s="9"/>
      <c r="H16" s="10" t="str">
        <f t="shared" ca="1" si="13"/>
        <v/>
      </c>
      <c r="I16" s="11">
        <f t="shared" ca="1" si="14"/>
        <v>2</v>
      </c>
      <c r="J16" s="11">
        <f t="shared" ca="1" si="15"/>
        <v>3</v>
      </c>
      <c r="K16" s="11">
        <f t="shared" ca="1" si="23"/>
        <v>5</v>
      </c>
      <c r="O16" s="119">
        <v>4</v>
      </c>
      <c r="P16" s="120" t="str">
        <f t="shared" ca="1" si="24"/>
        <v>Bogense</v>
      </c>
      <c r="Q16" s="120"/>
      <c r="R16" s="127">
        <f t="shared" ca="1" si="16"/>
        <v>5</v>
      </c>
      <c r="S16" s="143">
        <f t="shared" ca="1" si="17"/>
        <v>2</v>
      </c>
      <c r="T16" s="121">
        <f t="shared" ca="1" si="18"/>
        <v>1</v>
      </c>
      <c r="U16" s="121">
        <f t="shared" ca="1" si="19"/>
        <v>2</v>
      </c>
      <c r="V16" s="143">
        <f t="shared" ca="1" si="20"/>
        <v>21</v>
      </c>
      <c r="W16" s="121">
        <f t="shared" ca="1" si="21"/>
        <v>15</v>
      </c>
      <c r="X16" s="144">
        <f t="shared" ca="1" si="22"/>
        <v>7</v>
      </c>
    </row>
    <row r="17" spans="1:24" ht="17.399999999999999" x14ac:dyDescent="0.35">
      <c r="A17" s="6" t="s">
        <v>70</v>
      </c>
      <c r="B17" s="9">
        <v>4</v>
      </c>
      <c r="C17" s="9"/>
      <c r="D17" s="9">
        <v>8</v>
      </c>
      <c r="E17" s="9"/>
      <c r="F17" s="8"/>
      <c r="G17" s="9">
        <v>12</v>
      </c>
      <c r="H17" s="10" t="str">
        <f t="shared" ca="1" si="13"/>
        <v/>
      </c>
      <c r="I17" s="11">
        <f t="shared" ca="1" si="14"/>
        <v>3</v>
      </c>
      <c r="J17" s="11">
        <f t="shared" ca="1" si="15"/>
        <v>2</v>
      </c>
      <c r="K17" s="11">
        <f t="shared" ca="1" si="23"/>
        <v>5</v>
      </c>
      <c r="O17" s="119">
        <v>5</v>
      </c>
      <c r="P17" s="120" t="str">
        <f t="shared" ca="1" si="24"/>
        <v>Dragør</v>
      </c>
      <c r="Q17" s="120"/>
      <c r="R17" s="127">
        <f t="shared" ca="1" si="16"/>
        <v>5</v>
      </c>
      <c r="S17" s="143">
        <f t="shared" ca="1" si="17"/>
        <v>2</v>
      </c>
      <c r="T17" s="121">
        <f t="shared" ca="1" si="18"/>
        <v>0</v>
      </c>
      <c r="U17" s="121">
        <f t="shared" ca="1" si="19"/>
        <v>3</v>
      </c>
      <c r="V17" s="143">
        <f t="shared" ca="1" si="20"/>
        <v>13</v>
      </c>
      <c r="W17" s="121">
        <f t="shared" ca="1" si="21"/>
        <v>20</v>
      </c>
      <c r="X17" s="144">
        <f t="shared" ca="1" si="22"/>
        <v>6</v>
      </c>
    </row>
    <row r="18" spans="1:24" ht="17.399999999999999" x14ac:dyDescent="0.35">
      <c r="A18" s="6" t="s">
        <v>71</v>
      </c>
      <c r="B18" s="9"/>
      <c r="C18" s="9">
        <v>9</v>
      </c>
      <c r="D18" s="9"/>
      <c r="E18" s="9">
        <v>5</v>
      </c>
      <c r="F18" s="9"/>
      <c r="G18" s="8"/>
      <c r="H18" s="10" t="str">
        <f t="shared" ca="1" si="13"/>
        <v/>
      </c>
      <c r="I18" s="11">
        <f t="shared" ca="1" si="14"/>
        <v>2</v>
      </c>
      <c r="J18" s="11">
        <f t="shared" ca="1" si="15"/>
        <v>3</v>
      </c>
      <c r="K18" s="11">
        <f t="shared" ca="1" si="23"/>
        <v>5</v>
      </c>
      <c r="O18" s="119">
        <v>6</v>
      </c>
      <c r="P18" s="120" t="str">
        <f t="shared" ca="1" si="24"/>
        <v>Assens</v>
      </c>
      <c r="Q18" s="120"/>
      <c r="R18" s="127">
        <f t="shared" ca="1" si="16"/>
        <v>5</v>
      </c>
      <c r="S18" s="143">
        <f t="shared" ca="1" si="17"/>
        <v>1</v>
      </c>
      <c r="T18" s="121">
        <f t="shared" ca="1" si="18"/>
        <v>0</v>
      </c>
      <c r="U18" s="121">
        <f t="shared" ca="1" si="19"/>
        <v>4</v>
      </c>
      <c r="V18" s="143">
        <f t="shared" ca="1" si="20"/>
        <v>12</v>
      </c>
      <c r="W18" s="121">
        <f t="shared" ca="1" si="21"/>
        <v>19</v>
      </c>
      <c r="X18" s="144">
        <f t="shared" ca="1" si="22"/>
        <v>3</v>
      </c>
    </row>
    <row r="19" spans="1:24" ht="12" customHeight="1" x14ac:dyDescent="0.2">
      <c r="O19"/>
      <c r="P19"/>
      <c r="Q19"/>
      <c r="R19"/>
    </row>
    <row r="20" spans="1:24" s="12" customFormat="1" ht="15" thickBot="1" x14ac:dyDescent="0.35">
      <c r="C20" s="44" t="s">
        <v>17</v>
      </c>
      <c r="D20" s="45" t="s">
        <v>18</v>
      </c>
      <c r="E20" s="61" t="s">
        <v>19</v>
      </c>
      <c r="F20" s="47" t="s">
        <v>20</v>
      </c>
      <c r="G20" s="47" t="s">
        <v>21</v>
      </c>
      <c r="H20" s="47" t="s">
        <v>22</v>
      </c>
      <c r="I20" s="47" t="s">
        <v>23</v>
      </c>
      <c r="J20" s="48" t="s">
        <v>24</v>
      </c>
      <c r="K20" s="49" t="s">
        <v>25</v>
      </c>
      <c r="L20" s="49"/>
      <c r="O20" s="140" t="s">
        <v>5</v>
      </c>
      <c r="P20" s="139" t="s">
        <v>26</v>
      </c>
      <c r="Q20" s="139" t="s">
        <v>27</v>
      </c>
      <c r="R20" s="179" t="s">
        <v>28</v>
      </c>
      <c r="S20" s="179" t="s">
        <v>29</v>
      </c>
      <c r="T20" s="179" t="s">
        <v>30</v>
      </c>
      <c r="U20" s="180" t="s">
        <v>31</v>
      </c>
      <c r="V20" s="180" t="s">
        <v>31</v>
      </c>
      <c r="W20" s="138" t="s">
        <v>32</v>
      </c>
      <c r="X20" s="138" t="s">
        <v>32</v>
      </c>
    </row>
    <row r="21" spans="1:24" ht="17.399999999999999" x14ac:dyDescent="0.35">
      <c r="A21" s="13"/>
      <c r="B21" s="14"/>
      <c r="C21" s="50" t="s">
        <v>96</v>
      </c>
      <c r="D21" s="51"/>
      <c r="E21" s="50">
        <v>1</v>
      </c>
      <c r="F21" s="52">
        <f t="shared" ref="F21:F35" si="25">SUMPRODUCT((HxA=$E21)*(COLUMN(HxA)))-COLUMN(HxA)+1</f>
        <v>7</v>
      </c>
      <c r="G21" s="52">
        <f t="shared" ref="G21:G35" si="26">SUMPRODUCT((HxA=$E21)*(ROW(HxA)))-ROW(HxA)+1</f>
        <v>2</v>
      </c>
      <c r="H21" s="53" t="str">
        <f>INDEX(HxA,G21,1)</f>
        <v>T_01</v>
      </c>
      <c r="I21" s="53" t="str">
        <f t="shared" ref="I21:I35" si="27">INDEX(HxA,1,F21)</f>
        <v>T_06</v>
      </c>
      <c r="J21" s="54"/>
      <c r="K21" s="55">
        <v>43832</v>
      </c>
      <c r="L21" s="91"/>
      <c r="O21" s="122">
        <v>1</v>
      </c>
      <c r="P21" s="122" t="str">
        <f t="shared" ref="P21:P35" ca="1" si="28">INDIRECT(H21)</f>
        <v>Assens</v>
      </c>
      <c r="Q21" s="122" t="str">
        <f t="shared" ref="Q21:Q35" ca="1" si="29">INDIRECT(I21)</f>
        <v>Fjerritslev</v>
      </c>
      <c r="R21" s="161">
        <v>43832</v>
      </c>
      <c r="S21" s="162">
        <v>0.375</v>
      </c>
      <c r="T21" s="163">
        <v>1</v>
      </c>
      <c r="U21" s="164">
        <v>1</v>
      </c>
      <c r="V21" s="165">
        <v>4</v>
      </c>
      <c r="W21" s="121">
        <f t="shared" ref="W21:W35" si="30">IF(ISNUMBER(U21)*ISNUMBER(V21),IF(U21&gt;V21,ptv, IF(U21=V21,ptu,ptt)),"-")</f>
        <v>0</v>
      </c>
      <c r="X21" s="121">
        <f t="shared" ref="X21:X35" si="31">IF(ISNUMBER(U21)*ISNUMBER(V21),IF(W21=ptv,ptt,IF(W21=ptu,ptu,ptv)),"-")</f>
        <v>3</v>
      </c>
    </row>
    <row r="22" spans="1:24" ht="17.399999999999999" x14ac:dyDescent="0.35">
      <c r="A22" s="13"/>
      <c r="B22" s="14"/>
      <c r="C22" s="56" t="s">
        <v>89</v>
      </c>
      <c r="D22" s="57">
        <f>OR(H22=H21,H22=I21,I22=H21,I22=I21)*1</f>
        <v>0</v>
      </c>
      <c r="E22" s="56">
        <v>2</v>
      </c>
      <c r="F22" s="58">
        <f t="shared" si="25"/>
        <v>6</v>
      </c>
      <c r="G22" s="58">
        <f t="shared" si="26"/>
        <v>3</v>
      </c>
      <c r="H22" s="59" t="str">
        <f t="shared" ref="H22:H35" si="32">INDEX(HxA,G22,1)</f>
        <v>T_02</v>
      </c>
      <c r="I22" s="59" t="str">
        <f t="shared" si="27"/>
        <v>T_05</v>
      </c>
      <c r="J22" s="59">
        <v>0</v>
      </c>
      <c r="K22" s="60">
        <f>$K$21+J22</f>
        <v>43832</v>
      </c>
      <c r="L22" s="91"/>
      <c r="O22" s="122">
        <v>2</v>
      </c>
      <c r="P22" s="122" t="str">
        <f t="shared" ca="1" si="28"/>
        <v>Bogense</v>
      </c>
      <c r="Q22" s="122" t="str">
        <f t="shared" ca="1" si="29"/>
        <v>Ejby</v>
      </c>
      <c r="R22" s="134">
        <v>43832</v>
      </c>
      <c r="S22" s="123">
        <f>IFERROR(S21+mMin,"-")</f>
        <v>0.41319444444444442</v>
      </c>
      <c r="T22" s="146">
        <v>2</v>
      </c>
      <c r="U22" s="147">
        <v>5</v>
      </c>
      <c r="V22" s="148">
        <v>5</v>
      </c>
      <c r="W22" s="121">
        <f t="shared" si="30"/>
        <v>1</v>
      </c>
      <c r="X22" s="121">
        <f t="shared" si="31"/>
        <v>1</v>
      </c>
    </row>
    <row r="23" spans="1:24" ht="18" thickBot="1" x14ac:dyDescent="0.4">
      <c r="A23" s="13"/>
      <c r="B23" s="14"/>
      <c r="C23" s="67" t="s">
        <v>90</v>
      </c>
      <c r="D23" s="66">
        <f t="shared" ref="D23:D35" si="33">OR(H23=H22,H23=I22,I23=H22,I23=I22)*1</f>
        <v>0</v>
      </c>
      <c r="E23" s="67">
        <v>3</v>
      </c>
      <c r="F23" s="68">
        <f t="shared" si="25"/>
        <v>5</v>
      </c>
      <c r="G23" s="68">
        <f t="shared" si="26"/>
        <v>4</v>
      </c>
      <c r="H23" s="69" t="str">
        <f t="shared" si="32"/>
        <v>T_03</v>
      </c>
      <c r="I23" s="69" t="str">
        <f t="shared" si="27"/>
        <v>T_04</v>
      </c>
      <c r="J23" s="69">
        <v>0</v>
      </c>
      <c r="K23" s="70">
        <f t="shared" ref="K23:K39" si="34">$K$21+J23</f>
        <v>43832</v>
      </c>
      <c r="L23" s="91"/>
      <c r="O23" s="124">
        <v>3</v>
      </c>
      <c r="P23" s="124" t="str">
        <f t="shared" ca="1" si="28"/>
        <v>Christiansfelt</v>
      </c>
      <c r="Q23" s="124" t="str">
        <f t="shared" ca="1" si="29"/>
        <v>Dragør</v>
      </c>
      <c r="R23" s="135">
        <v>43832</v>
      </c>
      <c r="S23" s="125">
        <f>IFERROR(S22+mMin,"-")</f>
        <v>0.45138888888888884</v>
      </c>
      <c r="T23" s="149">
        <v>3</v>
      </c>
      <c r="U23" s="150">
        <v>3</v>
      </c>
      <c r="V23" s="151">
        <v>5</v>
      </c>
      <c r="W23" s="126">
        <f t="shared" si="30"/>
        <v>0</v>
      </c>
      <c r="X23" s="126">
        <f t="shared" si="31"/>
        <v>3</v>
      </c>
    </row>
    <row r="24" spans="1:24" ht="17.399999999999999" x14ac:dyDescent="0.35">
      <c r="A24" s="13"/>
      <c r="B24" s="14"/>
      <c r="C24" s="63" t="s">
        <v>101</v>
      </c>
      <c r="D24" s="62">
        <f t="shared" si="33"/>
        <v>0</v>
      </c>
      <c r="E24" s="63">
        <v>4</v>
      </c>
      <c r="F24" s="51">
        <f t="shared" si="25"/>
        <v>2</v>
      </c>
      <c r="G24" s="51">
        <f t="shared" si="26"/>
        <v>6</v>
      </c>
      <c r="H24" s="64" t="str">
        <f t="shared" si="32"/>
        <v>T_05</v>
      </c>
      <c r="I24" s="64" t="str">
        <f t="shared" si="27"/>
        <v>T_01</v>
      </c>
      <c r="J24" s="64">
        <v>1</v>
      </c>
      <c r="K24" s="65">
        <f t="shared" si="34"/>
        <v>43833</v>
      </c>
      <c r="L24" s="91"/>
      <c r="O24" s="160">
        <v>4</v>
      </c>
      <c r="P24" s="160" t="str">
        <f t="shared" ca="1" si="28"/>
        <v>Ejby</v>
      </c>
      <c r="Q24" s="160" t="str">
        <f t="shared" ca="1" si="29"/>
        <v>Assens</v>
      </c>
      <c r="R24" s="161">
        <v>43833</v>
      </c>
      <c r="S24" s="162" t="s">
        <v>33</v>
      </c>
      <c r="T24" s="163">
        <v>3</v>
      </c>
      <c r="U24" s="164">
        <v>4</v>
      </c>
      <c r="V24" s="165">
        <v>2</v>
      </c>
      <c r="W24" s="166">
        <f t="shared" si="30"/>
        <v>3</v>
      </c>
      <c r="X24" s="166">
        <f t="shared" si="31"/>
        <v>0</v>
      </c>
    </row>
    <row r="25" spans="1:24" ht="17.399999999999999" x14ac:dyDescent="0.35">
      <c r="A25" s="13"/>
      <c r="B25" s="14"/>
      <c r="C25" s="56" t="s">
        <v>102</v>
      </c>
      <c r="D25" s="57">
        <f t="shared" si="33"/>
        <v>0</v>
      </c>
      <c r="E25" s="56">
        <v>5</v>
      </c>
      <c r="F25" s="58">
        <f t="shared" si="25"/>
        <v>5</v>
      </c>
      <c r="G25" s="58">
        <f t="shared" si="26"/>
        <v>7</v>
      </c>
      <c r="H25" s="59" t="str">
        <f t="shared" si="32"/>
        <v>T_06</v>
      </c>
      <c r="I25" s="59" t="str">
        <f t="shared" si="27"/>
        <v>T_04</v>
      </c>
      <c r="J25" s="59">
        <v>1</v>
      </c>
      <c r="K25" s="60">
        <f t="shared" si="34"/>
        <v>43833</v>
      </c>
      <c r="L25" s="91"/>
      <c r="O25" s="122">
        <v>5</v>
      </c>
      <c r="P25" s="122" t="str">
        <f t="shared" ca="1" si="28"/>
        <v>Fjerritslev</v>
      </c>
      <c r="Q25" s="122" t="str">
        <f t="shared" ca="1" si="29"/>
        <v>Dragør</v>
      </c>
      <c r="R25" s="134">
        <v>43833</v>
      </c>
      <c r="S25" s="123" t="str">
        <f>IFERROR(S24+mMin,"-")</f>
        <v>-</v>
      </c>
      <c r="T25" s="146">
        <v>2</v>
      </c>
      <c r="U25" s="147">
        <v>5</v>
      </c>
      <c r="V25" s="148">
        <v>0</v>
      </c>
      <c r="W25" s="121">
        <f t="shared" si="30"/>
        <v>3</v>
      </c>
      <c r="X25" s="121">
        <f t="shared" si="31"/>
        <v>0</v>
      </c>
    </row>
    <row r="26" spans="1:24" ht="18" thickBot="1" x14ac:dyDescent="0.4">
      <c r="A26" s="13"/>
      <c r="B26" s="14"/>
      <c r="C26" s="67" t="s">
        <v>95</v>
      </c>
      <c r="D26" s="66">
        <f t="shared" si="33"/>
        <v>0</v>
      </c>
      <c r="E26" s="67">
        <v>6</v>
      </c>
      <c r="F26" s="68">
        <f t="shared" si="25"/>
        <v>4</v>
      </c>
      <c r="G26" s="68">
        <f t="shared" si="26"/>
        <v>3</v>
      </c>
      <c r="H26" s="69" t="str">
        <f t="shared" si="32"/>
        <v>T_02</v>
      </c>
      <c r="I26" s="69" t="str">
        <f t="shared" si="27"/>
        <v>T_03</v>
      </c>
      <c r="J26" s="69">
        <v>1</v>
      </c>
      <c r="K26" s="70">
        <f t="shared" si="34"/>
        <v>43833</v>
      </c>
      <c r="L26" s="91"/>
      <c r="O26" s="124">
        <v>6</v>
      </c>
      <c r="P26" s="124" t="str">
        <f t="shared" ca="1" si="28"/>
        <v>Bogense</v>
      </c>
      <c r="Q26" s="124" t="str">
        <f t="shared" ca="1" si="29"/>
        <v>Christiansfelt</v>
      </c>
      <c r="R26" s="135">
        <v>43833</v>
      </c>
      <c r="S26" s="125" t="str">
        <f>IFERROR(S25+mMin,"-")</f>
        <v>-</v>
      </c>
      <c r="T26" s="149">
        <v>1</v>
      </c>
      <c r="U26" s="150">
        <v>0</v>
      </c>
      <c r="V26" s="151">
        <v>3</v>
      </c>
      <c r="W26" s="126">
        <f t="shared" si="30"/>
        <v>0</v>
      </c>
      <c r="X26" s="126">
        <f t="shared" si="31"/>
        <v>3</v>
      </c>
    </row>
    <row r="27" spans="1:24" ht="17.399999999999999" x14ac:dyDescent="0.35">
      <c r="A27" s="13"/>
      <c r="B27" s="14"/>
      <c r="C27" s="63" t="s">
        <v>106</v>
      </c>
      <c r="D27" s="62">
        <f t="shared" si="33"/>
        <v>0</v>
      </c>
      <c r="E27" s="63">
        <v>7</v>
      </c>
      <c r="F27" s="51">
        <f t="shared" si="25"/>
        <v>5</v>
      </c>
      <c r="G27" s="51">
        <f t="shared" si="26"/>
        <v>2</v>
      </c>
      <c r="H27" s="64" t="str">
        <f t="shared" si="32"/>
        <v>T_01</v>
      </c>
      <c r="I27" s="64" t="str">
        <f t="shared" si="27"/>
        <v>T_04</v>
      </c>
      <c r="J27" s="64">
        <v>2</v>
      </c>
      <c r="K27" s="65">
        <f t="shared" si="34"/>
        <v>43834</v>
      </c>
      <c r="L27" s="91"/>
      <c r="O27" s="122">
        <v>7</v>
      </c>
      <c r="P27" s="122" t="str">
        <f t="shared" ca="1" si="28"/>
        <v>Assens</v>
      </c>
      <c r="Q27" s="122" t="str">
        <f t="shared" ca="1" si="29"/>
        <v>Dragør</v>
      </c>
      <c r="R27" s="134">
        <v>43834</v>
      </c>
      <c r="S27" s="123" t="s">
        <v>33</v>
      </c>
      <c r="T27" s="146">
        <v>1</v>
      </c>
      <c r="U27" s="147">
        <v>5</v>
      </c>
      <c r="V27" s="148">
        <v>3</v>
      </c>
      <c r="W27" s="121">
        <f t="shared" si="30"/>
        <v>3</v>
      </c>
      <c r="X27" s="121">
        <f t="shared" si="31"/>
        <v>0</v>
      </c>
    </row>
    <row r="28" spans="1:24" ht="17.399999999999999" x14ac:dyDescent="0.35">
      <c r="A28" s="13"/>
      <c r="B28" s="14"/>
      <c r="C28" s="56" t="s">
        <v>107</v>
      </c>
      <c r="D28" s="57">
        <f t="shared" si="33"/>
        <v>0</v>
      </c>
      <c r="E28" s="56">
        <v>8</v>
      </c>
      <c r="F28" s="58">
        <f t="shared" si="25"/>
        <v>4</v>
      </c>
      <c r="G28" s="58">
        <f t="shared" si="26"/>
        <v>6</v>
      </c>
      <c r="H28" s="59" t="str">
        <f t="shared" si="32"/>
        <v>T_05</v>
      </c>
      <c r="I28" s="59" t="str">
        <f t="shared" si="27"/>
        <v>T_03</v>
      </c>
      <c r="J28" s="59">
        <v>2</v>
      </c>
      <c r="K28" s="60">
        <f t="shared" si="34"/>
        <v>43834</v>
      </c>
      <c r="L28" s="91"/>
      <c r="O28" s="122">
        <v>8</v>
      </c>
      <c r="P28" s="122" t="str">
        <f t="shared" ca="1" si="28"/>
        <v>Ejby</v>
      </c>
      <c r="Q28" s="122" t="str">
        <f t="shared" ca="1" si="29"/>
        <v>Christiansfelt</v>
      </c>
      <c r="R28" s="134">
        <v>43834</v>
      </c>
      <c r="S28" s="123" t="str">
        <f>IFERROR(S27+mMin,"-")</f>
        <v>-</v>
      </c>
      <c r="T28" s="146">
        <v>2</v>
      </c>
      <c r="U28" s="147">
        <v>1</v>
      </c>
      <c r="V28" s="148">
        <v>5</v>
      </c>
      <c r="W28" s="121">
        <f t="shared" si="30"/>
        <v>0</v>
      </c>
      <c r="X28" s="121">
        <f t="shared" si="31"/>
        <v>3</v>
      </c>
    </row>
    <row r="29" spans="1:24" ht="18" thickBot="1" x14ac:dyDescent="0.4">
      <c r="A29" s="13"/>
      <c r="B29" s="14"/>
      <c r="C29" s="67" t="s">
        <v>108</v>
      </c>
      <c r="D29" s="66">
        <f t="shared" si="33"/>
        <v>0</v>
      </c>
      <c r="E29" s="67">
        <v>9</v>
      </c>
      <c r="F29" s="68">
        <f t="shared" si="25"/>
        <v>3</v>
      </c>
      <c r="G29" s="68">
        <f t="shared" si="26"/>
        <v>7</v>
      </c>
      <c r="H29" s="69" t="str">
        <f t="shared" si="32"/>
        <v>T_06</v>
      </c>
      <c r="I29" s="69" t="str">
        <f t="shared" si="27"/>
        <v>T_02</v>
      </c>
      <c r="J29" s="69">
        <v>2</v>
      </c>
      <c r="K29" s="70">
        <f t="shared" si="34"/>
        <v>43834</v>
      </c>
      <c r="L29" s="91"/>
      <c r="O29" s="124">
        <v>9</v>
      </c>
      <c r="P29" s="124" t="str">
        <f t="shared" ca="1" si="28"/>
        <v>Fjerritslev</v>
      </c>
      <c r="Q29" s="124" t="str">
        <f t="shared" ca="1" si="29"/>
        <v>Bogense</v>
      </c>
      <c r="R29" s="135">
        <v>43834</v>
      </c>
      <c r="S29" s="125" t="str">
        <f>IFERROR(S28+mMin,"-")</f>
        <v>-</v>
      </c>
      <c r="T29" s="149">
        <v>3</v>
      </c>
      <c r="U29" s="150">
        <v>1</v>
      </c>
      <c r="V29" s="151">
        <v>10</v>
      </c>
      <c r="W29" s="126">
        <f t="shared" si="30"/>
        <v>0</v>
      </c>
      <c r="X29" s="126">
        <f t="shared" si="31"/>
        <v>3</v>
      </c>
    </row>
    <row r="30" spans="1:24" ht="17.399999999999999" x14ac:dyDescent="0.35">
      <c r="A30" s="13"/>
      <c r="B30" s="14"/>
      <c r="C30" s="63" t="s">
        <v>111</v>
      </c>
      <c r="D30" s="62">
        <f t="shared" si="33"/>
        <v>0</v>
      </c>
      <c r="E30" s="63">
        <v>10</v>
      </c>
      <c r="F30" s="51">
        <f t="shared" si="25"/>
        <v>2</v>
      </c>
      <c r="G30" s="51">
        <f t="shared" si="26"/>
        <v>4</v>
      </c>
      <c r="H30" s="64" t="str">
        <f t="shared" si="32"/>
        <v>T_03</v>
      </c>
      <c r="I30" s="64" t="str">
        <f t="shared" si="27"/>
        <v>T_01</v>
      </c>
      <c r="J30" s="64">
        <v>3</v>
      </c>
      <c r="K30" s="65">
        <f t="shared" si="34"/>
        <v>43835</v>
      </c>
      <c r="L30" s="91"/>
      <c r="O30" s="122">
        <v>10</v>
      </c>
      <c r="P30" s="122" t="str">
        <f t="shared" ca="1" si="28"/>
        <v>Christiansfelt</v>
      </c>
      <c r="Q30" s="122" t="str">
        <f t="shared" ca="1" si="29"/>
        <v>Assens</v>
      </c>
      <c r="R30" s="134">
        <v>43835</v>
      </c>
      <c r="S30" s="123" t="s">
        <v>33</v>
      </c>
      <c r="T30" s="146">
        <v>2</v>
      </c>
      <c r="U30" s="147">
        <v>4</v>
      </c>
      <c r="V30" s="148">
        <v>2</v>
      </c>
      <c r="W30" s="121">
        <f t="shared" si="30"/>
        <v>3</v>
      </c>
      <c r="X30" s="121">
        <f t="shared" si="31"/>
        <v>0</v>
      </c>
    </row>
    <row r="31" spans="1:24" ht="17.399999999999999" x14ac:dyDescent="0.35">
      <c r="A31" s="13"/>
      <c r="B31" s="14"/>
      <c r="C31" s="56" t="s">
        <v>112</v>
      </c>
      <c r="D31" s="57">
        <f t="shared" si="33"/>
        <v>0</v>
      </c>
      <c r="E31" s="56">
        <v>11</v>
      </c>
      <c r="F31" s="58">
        <f t="shared" si="25"/>
        <v>3</v>
      </c>
      <c r="G31" s="58">
        <f t="shared" si="26"/>
        <v>5</v>
      </c>
      <c r="H31" s="59" t="str">
        <f t="shared" si="32"/>
        <v>T_04</v>
      </c>
      <c r="I31" s="59" t="str">
        <f t="shared" si="27"/>
        <v>T_02</v>
      </c>
      <c r="J31" s="59">
        <v>3</v>
      </c>
      <c r="K31" s="60">
        <f t="shared" si="34"/>
        <v>43835</v>
      </c>
      <c r="L31" s="91"/>
      <c r="O31" s="122">
        <v>11</v>
      </c>
      <c r="P31" s="122" t="str">
        <f t="shared" ca="1" si="28"/>
        <v>Dragør</v>
      </c>
      <c r="Q31" s="122" t="str">
        <f t="shared" ca="1" si="29"/>
        <v>Bogense</v>
      </c>
      <c r="R31" s="134">
        <v>43835</v>
      </c>
      <c r="S31" s="123" t="str">
        <f>IFERROR(S30+mMin,"-")</f>
        <v>-</v>
      </c>
      <c r="T31" s="146">
        <v>1</v>
      </c>
      <c r="U31" s="147">
        <v>4</v>
      </c>
      <c r="V31" s="148">
        <v>2</v>
      </c>
      <c r="W31" s="121">
        <f t="shared" si="30"/>
        <v>3</v>
      </c>
      <c r="X31" s="121">
        <f t="shared" si="31"/>
        <v>0</v>
      </c>
    </row>
    <row r="32" spans="1:24" ht="18" thickBot="1" x14ac:dyDescent="0.4">
      <c r="A32" s="13"/>
      <c r="B32" s="14"/>
      <c r="C32" s="67" t="s">
        <v>80</v>
      </c>
      <c r="D32" s="66">
        <f t="shared" si="33"/>
        <v>0</v>
      </c>
      <c r="E32" s="67">
        <v>12</v>
      </c>
      <c r="F32" s="68">
        <f t="shared" si="25"/>
        <v>7</v>
      </c>
      <c r="G32" s="68">
        <f t="shared" si="26"/>
        <v>6</v>
      </c>
      <c r="H32" s="69" t="str">
        <f t="shared" si="32"/>
        <v>T_05</v>
      </c>
      <c r="I32" s="69" t="str">
        <f t="shared" si="27"/>
        <v>T_06</v>
      </c>
      <c r="J32" s="69">
        <v>3</v>
      </c>
      <c r="K32" s="70">
        <f t="shared" si="34"/>
        <v>43835</v>
      </c>
      <c r="L32" s="91"/>
      <c r="O32" s="124">
        <v>12</v>
      </c>
      <c r="P32" s="124" t="str">
        <f t="shared" ca="1" si="28"/>
        <v>Ejby</v>
      </c>
      <c r="Q32" s="124" t="str">
        <f t="shared" ca="1" si="29"/>
        <v>Fjerritslev</v>
      </c>
      <c r="R32" s="135">
        <v>43835</v>
      </c>
      <c r="S32" s="125" t="str">
        <f>IFERROR(S31+mMin,"-")</f>
        <v>-</v>
      </c>
      <c r="T32" s="149">
        <v>3</v>
      </c>
      <c r="U32" s="150">
        <v>2</v>
      </c>
      <c r="V32" s="151">
        <v>1</v>
      </c>
      <c r="W32" s="126">
        <f t="shared" si="30"/>
        <v>3</v>
      </c>
      <c r="X32" s="126">
        <f t="shared" si="31"/>
        <v>0</v>
      </c>
    </row>
    <row r="33" spans="1:24" ht="17.399999999999999" x14ac:dyDescent="0.35">
      <c r="A33" s="13"/>
      <c r="B33" s="14"/>
      <c r="C33" s="63" t="s">
        <v>116</v>
      </c>
      <c r="D33" s="62">
        <f t="shared" si="33"/>
        <v>0</v>
      </c>
      <c r="E33" s="63">
        <v>13</v>
      </c>
      <c r="F33" s="51">
        <f t="shared" si="25"/>
        <v>3</v>
      </c>
      <c r="G33" s="51">
        <f t="shared" si="26"/>
        <v>2</v>
      </c>
      <c r="H33" s="64" t="str">
        <f t="shared" si="32"/>
        <v>T_01</v>
      </c>
      <c r="I33" s="64" t="str">
        <f t="shared" si="27"/>
        <v>T_02</v>
      </c>
      <c r="J33" s="64">
        <v>4</v>
      </c>
      <c r="K33" s="65">
        <f t="shared" si="34"/>
        <v>43836</v>
      </c>
      <c r="L33" s="91"/>
      <c r="O33" s="122">
        <v>13</v>
      </c>
      <c r="P33" s="122" t="str">
        <f t="shared" ca="1" si="28"/>
        <v>Assens</v>
      </c>
      <c r="Q33" s="122" t="str">
        <f t="shared" ca="1" si="29"/>
        <v>Bogense</v>
      </c>
      <c r="R33" s="134">
        <v>43836</v>
      </c>
      <c r="S33" s="123" t="s">
        <v>33</v>
      </c>
      <c r="T33" s="146">
        <v>2</v>
      </c>
      <c r="U33" s="147">
        <v>2</v>
      </c>
      <c r="V33" s="148">
        <v>4</v>
      </c>
      <c r="W33" s="121">
        <f t="shared" si="30"/>
        <v>0</v>
      </c>
      <c r="X33" s="121">
        <f t="shared" si="31"/>
        <v>3</v>
      </c>
    </row>
    <row r="34" spans="1:24" ht="17.399999999999999" x14ac:dyDescent="0.35">
      <c r="A34" s="13"/>
      <c r="B34" s="14"/>
      <c r="C34" s="56" t="s">
        <v>84</v>
      </c>
      <c r="D34" s="57">
        <f t="shared" si="33"/>
        <v>0</v>
      </c>
      <c r="E34" s="56">
        <v>14</v>
      </c>
      <c r="F34" s="58">
        <f t="shared" si="25"/>
        <v>7</v>
      </c>
      <c r="G34" s="58">
        <f t="shared" si="26"/>
        <v>4</v>
      </c>
      <c r="H34" s="59" t="str">
        <f t="shared" si="32"/>
        <v>T_03</v>
      </c>
      <c r="I34" s="59" t="str">
        <f t="shared" si="27"/>
        <v>T_06</v>
      </c>
      <c r="J34" s="59">
        <v>4</v>
      </c>
      <c r="K34" s="60">
        <f t="shared" si="34"/>
        <v>43836</v>
      </c>
      <c r="L34" s="91"/>
      <c r="O34" s="122">
        <v>14</v>
      </c>
      <c r="P34" s="122" t="str">
        <f t="shared" ca="1" si="28"/>
        <v>Christiansfelt</v>
      </c>
      <c r="Q34" s="122" t="str">
        <f t="shared" ca="1" si="29"/>
        <v>Fjerritslev</v>
      </c>
      <c r="R34" s="134">
        <v>43836</v>
      </c>
      <c r="S34" s="123" t="str">
        <f>IFERROR(S33+mMin,"-")</f>
        <v>-</v>
      </c>
      <c r="T34" s="146">
        <v>1</v>
      </c>
      <c r="U34" s="147">
        <v>2</v>
      </c>
      <c r="V34" s="148">
        <v>5</v>
      </c>
      <c r="W34" s="121">
        <f t="shared" si="30"/>
        <v>0</v>
      </c>
      <c r="X34" s="121">
        <f t="shared" si="31"/>
        <v>3</v>
      </c>
    </row>
    <row r="35" spans="1:24" ht="18" thickBot="1" x14ac:dyDescent="0.4">
      <c r="A35" s="13"/>
      <c r="B35" s="14"/>
      <c r="C35" s="67" t="s">
        <v>85</v>
      </c>
      <c r="D35" s="66">
        <f t="shared" si="33"/>
        <v>0</v>
      </c>
      <c r="E35" s="67">
        <v>15</v>
      </c>
      <c r="F35" s="68">
        <f t="shared" si="25"/>
        <v>6</v>
      </c>
      <c r="G35" s="68">
        <f t="shared" si="26"/>
        <v>5</v>
      </c>
      <c r="H35" s="69" t="str">
        <f t="shared" si="32"/>
        <v>T_04</v>
      </c>
      <c r="I35" s="69" t="str">
        <f t="shared" si="27"/>
        <v>T_05</v>
      </c>
      <c r="J35" s="69">
        <v>4</v>
      </c>
      <c r="K35" s="70">
        <f t="shared" si="34"/>
        <v>43836</v>
      </c>
      <c r="L35" s="91"/>
      <c r="O35" s="124">
        <v>15</v>
      </c>
      <c r="P35" s="124" t="str">
        <f t="shared" ca="1" si="28"/>
        <v>Dragør</v>
      </c>
      <c r="Q35" s="124" t="str">
        <f t="shared" ca="1" si="29"/>
        <v>Ejby</v>
      </c>
      <c r="R35" s="135">
        <v>43836</v>
      </c>
      <c r="S35" s="125" t="str">
        <f>IFERROR(S34+mMin,"-")</f>
        <v>-</v>
      </c>
      <c r="T35" s="149">
        <v>3</v>
      </c>
      <c r="U35" s="150">
        <v>1</v>
      </c>
      <c r="V35" s="151">
        <v>5</v>
      </c>
      <c r="W35" s="126">
        <f t="shared" si="30"/>
        <v>0</v>
      </c>
      <c r="X35" s="126">
        <f t="shared" si="31"/>
        <v>3</v>
      </c>
    </row>
    <row r="36" spans="1:24" ht="18" thickBot="1" x14ac:dyDescent="0.4">
      <c r="H36" s="19" t="s">
        <v>34</v>
      </c>
      <c r="I36" s="19" t="s">
        <v>35</v>
      </c>
      <c r="J36" s="15"/>
      <c r="K36" s="17"/>
      <c r="L36" s="91"/>
      <c r="P36" s="92"/>
      <c r="Q36" s="92"/>
      <c r="R36" s="92"/>
      <c r="S36" s="5"/>
      <c r="T36" s="5"/>
      <c r="U36" s="18"/>
      <c r="V36" s="40"/>
    </row>
    <row r="37" spans="1:24" ht="18" thickBot="1" x14ac:dyDescent="0.4">
      <c r="H37" s="20" t="str">
        <f>IF(ISNUMBER(U37),IF(U37&gt;V37,P37,Q37),"")</f>
        <v/>
      </c>
      <c r="I37" s="20" t="str">
        <f>IF(ISNUMBER(U37),IF(H37=P37,Q37,P37),"")</f>
        <v/>
      </c>
      <c r="J37" s="15">
        <v>10</v>
      </c>
      <c r="K37" s="17">
        <f t="shared" si="34"/>
        <v>43842</v>
      </c>
      <c r="L37" s="91"/>
      <c r="O37" s="89" t="s">
        <v>64</v>
      </c>
      <c r="P37" s="90"/>
      <c r="Q37" s="90"/>
      <c r="R37" s="174">
        <v>41660</v>
      </c>
      <c r="S37" s="175">
        <v>0.54166666666666663</v>
      </c>
      <c r="T37" s="176">
        <v>2</v>
      </c>
      <c r="U37" s="177"/>
      <c r="V37" s="178"/>
      <c r="W37" s="21" t="str">
        <f t="shared" ref="W37" si="35">IF(ISNUMBER(U37)*ISNUMBER(V37),IF(U37&gt;V37,ptv, IF(U37=V37,ptu,ptt)),"-")</f>
        <v>-</v>
      </c>
      <c r="X37" s="21" t="str">
        <f t="shared" ref="X37" si="36">IF(ISNUMBER(U37)*ISNUMBER(V37),IF(W37=ptv,ptt,IF(W37=ptu,ptu,ptv)),"-")</f>
        <v>-</v>
      </c>
    </row>
    <row r="38" spans="1:24" ht="15" thickBot="1" x14ac:dyDescent="0.25">
      <c r="H38" s="19" t="s">
        <v>36</v>
      </c>
      <c r="I38" s="19" t="s">
        <v>37</v>
      </c>
      <c r="J38" s="15"/>
      <c r="K38" s="17"/>
      <c r="L38" s="91"/>
      <c r="P38" s="92"/>
      <c r="Q38" s="92"/>
      <c r="R38" s="92"/>
      <c r="S38" s="5"/>
      <c r="T38" s="5"/>
      <c r="U38" s="5"/>
      <c r="V38" s="94"/>
    </row>
    <row r="39" spans="1:24" ht="18" thickBot="1" x14ac:dyDescent="0.4">
      <c r="H39" s="20" t="str">
        <f>IF(ISNUMBER(U39),IF(U39&gt;V39,P39,Q39),"")</f>
        <v/>
      </c>
      <c r="I39" s="20" t="str">
        <f>IF(ISNUMBER(U39),IF(H39=P39,Q39,P39),"")</f>
        <v/>
      </c>
      <c r="J39" s="15">
        <v>11</v>
      </c>
      <c r="K39" s="17">
        <f t="shared" si="34"/>
        <v>43843</v>
      </c>
      <c r="L39" s="91"/>
      <c r="O39" s="88" t="s">
        <v>175</v>
      </c>
      <c r="P39" s="90"/>
      <c r="Q39" s="90"/>
      <c r="R39" s="174">
        <v>41661</v>
      </c>
      <c r="S39" s="175">
        <v>0.54166666666666663</v>
      </c>
      <c r="T39" s="176">
        <v>2</v>
      </c>
      <c r="U39" s="177"/>
      <c r="V39" s="178"/>
      <c r="W39" s="21" t="str">
        <f t="shared" ref="W39" si="37">IF(ISNUMBER(U39)*ISNUMBER(V39),IF(U39&gt;V39,ptv, IF(U39=V39,ptu,ptt)),"-")</f>
        <v>-</v>
      </c>
      <c r="X39" s="21" t="str">
        <f t="shared" ref="X39" si="38">IF(ISNUMBER(U39)*ISNUMBER(V39),IF(W39=ptv,ptt,IF(W39=ptu,ptu,ptv)),"-")</f>
        <v>-</v>
      </c>
    </row>
    <row r="40" spans="1:24" ht="14.4" x14ac:dyDescent="0.2">
      <c r="L40" s="91"/>
    </row>
  </sheetData>
  <sheetProtection sheet="1" objects="1" scenarios="1"/>
  <conditionalFormatting sqref="D22:D23">
    <cfRule type="expression" dxfId="62" priority="4">
      <formula>D22=1</formula>
    </cfRule>
  </conditionalFormatting>
  <conditionalFormatting sqref="D24:D35">
    <cfRule type="expression" dxfId="61" priority="3">
      <formula>D24=1</formula>
    </cfRule>
  </conditionalFormatting>
  <conditionalFormatting sqref="B13:G18">
    <cfRule type="duplicateValues" dxfId="60" priority="5"/>
    <cfRule type="expression" dxfId="59" priority="6">
      <formula>AND(B13&lt;=$E$10,ISNUMBER(B13))</formula>
    </cfRule>
  </conditionalFormatting>
  <conditionalFormatting sqref="L3:L8">
    <cfRule type="duplicateValues" dxfId="58" priority="2"/>
  </conditionalFormatting>
  <conditionalFormatting sqref="M3:M8">
    <cfRule type="duplicateValues" dxfId="57" priority="1"/>
  </conditionalFormatting>
  <dataValidations disablePrompts="1" count="1">
    <dataValidation type="list" allowBlank="1" showInputMessage="1" showErrorMessage="1" sqref="P37:Q37 P39:Q39" xr:uid="{00000000-0002-0000-0A00-000000000000}">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grp06x2">
    <tabColor rgb="FF00B0F0"/>
    <outlinePr showOutlineSymbols="0"/>
    <pageSetUpPr fitToPage="1"/>
  </sheetPr>
  <dimension ref="A1:X55"/>
  <sheetViews>
    <sheetView showGridLines="0" showRowColHeaders="0" showOutlineSymbols="0" zoomScaleNormal="100" zoomScaleSheetLayoutView="100" workbookViewId="0">
      <pane ySplit="20" topLeftCell="A21" activePane="bottomLeft" state="frozen"/>
      <selection activeCell="L43" sqref="L43"/>
      <selection pane="bottomLeft" activeCell="P21" sqref="P21"/>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6"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8" si="0">INDEX(xTeams,A3,1)</f>
        <v>Assens</v>
      </c>
      <c r="C3" s="96">
        <f t="shared" ref="C3" ca="1" si="1">SUMIF(team1,teams,goals1)+SUMIF(team2,teams,goals2)</f>
        <v>21</v>
      </c>
      <c r="D3" s="96">
        <f t="shared" ref="D3" ca="1" si="2">SUMIF(team1,teams,goals2)+SUMIF(team2,teams,goals1)</f>
        <v>32</v>
      </c>
      <c r="E3" s="104">
        <f t="shared" ref="E3:E8" ca="1" si="3">SUMIFS(
   points1,team1,teams
) +
  SUMIFS(points2,team2,teams)</f>
        <v>8</v>
      </c>
      <c r="F3" s="96">
        <f t="shared" ref="F3:F8" ca="1" si="4">C3-D3</f>
        <v>-11</v>
      </c>
      <c r="G3" s="96">
        <f t="shared" ref="G3:G8" ca="1" si="5">COUNTIFS(team1,$B3,points1,"&gt;=0")+COUNTIFS(team2,$B3,points2,"&gt;=0")</f>
        <v>10</v>
      </c>
      <c r="H3" s="105">
        <f ca="1">IF(G3=0,1,0)</f>
        <v>0</v>
      </c>
      <c r="I3" s="105">
        <f ca="1">RANK($E3,$E$3:$E$8,0)</f>
        <v>5</v>
      </c>
      <c r="J3" s="98">
        <f ca="1">RANK($F3,$F$3:$F$8,0)/10</f>
        <v>0.6</v>
      </c>
      <c r="K3" s="99">
        <f ca="1">RANK($C3,$C$3:$C$8,0)/100</f>
        <v>0.06</v>
      </c>
      <c r="L3" s="99">
        <f ca="1">SUM(H3:K3)</f>
        <v>5.6599999999999993</v>
      </c>
      <c r="M3" s="96">
        <f ca="1">RANK($L3,$L$3:$L$8,1) + COUNTIF($L$3:$L3,$L3)-1</f>
        <v>6</v>
      </c>
    </row>
    <row r="4" spans="1:24" hidden="1" outlineLevel="1" x14ac:dyDescent="0.2">
      <c r="A4" s="103">
        <v>2</v>
      </c>
      <c r="B4" s="103" t="str">
        <f t="shared" si="0"/>
        <v>Bogense</v>
      </c>
      <c r="C4" s="96">
        <f t="shared" ref="C4:C8" ca="1" si="6">SUMIF(team1,teams,goals1)+SUMIF(team2,teams,goals2)</f>
        <v>27</v>
      </c>
      <c r="D4" s="96">
        <f t="shared" ref="D4:D8" ca="1" si="7">SUMIF(team1,teams,goals2)+SUMIF(team2,teams,goals1)</f>
        <v>34</v>
      </c>
      <c r="E4" s="104">
        <f t="shared" ca="1" si="3"/>
        <v>8</v>
      </c>
      <c r="F4" s="96">
        <f t="shared" ca="1" si="4"/>
        <v>-7</v>
      </c>
      <c r="G4" s="96">
        <f t="shared" ca="1" si="5"/>
        <v>10</v>
      </c>
      <c r="H4" s="105">
        <f t="shared" ref="H4:H8" ca="1" si="8">IF(G4=0,1,0)</f>
        <v>0</v>
      </c>
      <c r="I4" s="105">
        <f t="shared" ref="I4:I8" ca="1" si="9">RANK($E4,$E$3:$E$8,0)</f>
        <v>5</v>
      </c>
      <c r="J4" s="98">
        <f t="shared" ref="J4:J8" ca="1" si="10">RANK($F4,$F$3:$F$8,0)/10</f>
        <v>0.5</v>
      </c>
      <c r="K4" s="99">
        <f t="shared" ref="K4:K8" ca="1" si="11">RANK($C4,$C$3:$C$8,0)/100</f>
        <v>0.05</v>
      </c>
      <c r="L4" s="99">
        <f t="shared" ref="L4:L8" ca="1" si="12">SUM(H4:K4)</f>
        <v>5.55</v>
      </c>
      <c r="M4" s="96">
        <f ca="1">RANK($L4,$L$3:$L$8,1) + COUNTIF($L$3:$L4,$L4)-1</f>
        <v>5</v>
      </c>
    </row>
    <row r="5" spans="1:24" hidden="1" outlineLevel="1" x14ac:dyDescent="0.2">
      <c r="A5" s="103">
        <v>3</v>
      </c>
      <c r="B5" s="103" t="str">
        <f t="shared" si="0"/>
        <v>Christiansfelt</v>
      </c>
      <c r="C5" s="96">
        <f t="shared" ca="1" si="6"/>
        <v>32</v>
      </c>
      <c r="D5" s="96">
        <f t="shared" ca="1" si="7"/>
        <v>25</v>
      </c>
      <c r="E5" s="104">
        <f t="shared" ca="1" si="3"/>
        <v>18</v>
      </c>
      <c r="F5" s="96">
        <f t="shared" ca="1" si="4"/>
        <v>7</v>
      </c>
      <c r="G5" s="96">
        <f t="shared" ca="1" si="5"/>
        <v>10</v>
      </c>
      <c r="H5" s="105">
        <f t="shared" ca="1" si="8"/>
        <v>0</v>
      </c>
      <c r="I5" s="105">
        <f t="shared" ca="1" si="9"/>
        <v>2</v>
      </c>
      <c r="J5" s="98">
        <f t="shared" ca="1" si="10"/>
        <v>0.2</v>
      </c>
      <c r="K5" s="99">
        <f t="shared" ca="1" si="11"/>
        <v>0.02</v>
      </c>
      <c r="L5" s="99">
        <f t="shared" ca="1" si="12"/>
        <v>2.2200000000000002</v>
      </c>
      <c r="M5" s="96">
        <f ca="1">RANK($L5,$L$3:$L$8,1) + COUNTIF($L$3:$L5,$L5)-1</f>
        <v>2</v>
      </c>
    </row>
    <row r="6" spans="1:24" hidden="1" outlineLevel="1" x14ac:dyDescent="0.2">
      <c r="A6" s="103">
        <v>4</v>
      </c>
      <c r="B6" s="103" t="str">
        <f t="shared" si="0"/>
        <v>Dragør</v>
      </c>
      <c r="C6" s="96">
        <f t="shared" ca="1" si="6"/>
        <v>28</v>
      </c>
      <c r="D6" s="96">
        <f t="shared" ca="1" si="7"/>
        <v>34</v>
      </c>
      <c r="E6" s="104">
        <f t="shared" ca="1" si="3"/>
        <v>15</v>
      </c>
      <c r="F6" s="96">
        <f t="shared" ca="1" si="4"/>
        <v>-6</v>
      </c>
      <c r="G6" s="96">
        <f t="shared" ca="1" si="5"/>
        <v>10</v>
      </c>
      <c r="H6" s="105">
        <f t="shared" ca="1" si="8"/>
        <v>0</v>
      </c>
      <c r="I6" s="105">
        <f t="shared" ca="1" si="9"/>
        <v>4</v>
      </c>
      <c r="J6" s="98">
        <f t="shared" ca="1" si="10"/>
        <v>0.4</v>
      </c>
      <c r="K6" s="99">
        <f t="shared" ca="1" si="11"/>
        <v>0.03</v>
      </c>
      <c r="L6" s="99">
        <f t="shared" ca="1" si="12"/>
        <v>4.4300000000000006</v>
      </c>
      <c r="M6" s="96">
        <f ca="1">RANK($L6,$L$3:$L$8,1) + COUNTIF($L$3:$L6,$L6)-1</f>
        <v>4</v>
      </c>
    </row>
    <row r="7" spans="1:24" hidden="1" outlineLevel="1" x14ac:dyDescent="0.2">
      <c r="A7" s="103">
        <v>5</v>
      </c>
      <c r="B7" s="103" t="str">
        <f t="shared" si="0"/>
        <v>Ejby</v>
      </c>
      <c r="C7" s="96">
        <f t="shared" ca="1" si="6"/>
        <v>28</v>
      </c>
      <c r="D7" s="96">
        <f t="shared" ca="1" si="7"/>
        <v>25</v>
      </c>
      <c r="E7" s="104">
        <f t="shared" ca="1" si="3"/>
        <v>17</v>
      </c>
      <c r="F7" s="96">
        <f t="shared" ca="1" si="4"/>
        <v>3</v>
      </c>
      <c r="G7" s="96">
        <f t="shared" ca="1" si="5"/>
        <v>10</v>
      </c>
      <c r="H7" s="105">
        <f t="shared" ca="1" si="8"/>
        <v>0</v>
      </c>
      <c r="I7" s="105">
        <f t="shared" ca="1" si="9"/>
        <v>3</v>
      </c>
      <c r="J7" s="98">
        <f t="shared" ca="1" si="10"/>
        <v>0.3</v>
      </c>
      <c r="K7" s="99">
        <f t="shared" ca="1" si="11"/>
        <v>0.03</v>
      </c>
      <c r="L7" s="99">
        <f t="shared" ca="1" si="12"/>
        <v>3.3299999999999996</v>
      </c>
      <c r="M7" s="96">
        <f ca="1">RANK($L7,$L$3:$L$8,1) + COUNTIF($L$3:$L7,$L7)-1</f>
        <v>3</v>
      </c>
    </row>
    <row r="8" spans="1:24" hidden="1" outlineLevel="1" x14ac:dyDescent="0.2">
      <c r="A8" s="103">
        <v>6</v>
      </c>
      <c r="B8" s="103" t="str">
        <f t="shared" si="0"/>
        <v>Fjerritslev</v>
      </c>
      <c r="C8" s="96">
        <f t="shared" ca="1" si="6"/>
        <v>33</v>
      </c>
      <c r="D8" s="96">
        <f t="shared" ca="1" si="7"/>
        <v>19</v>
      </c>
      <c r="E8" s="104">
        <f t="shared" ca="1" si="3"/>
        <v>21</v>
      </c>
      <c r="F8" s="96">
        <f t="shared" ca="1" si="4"/>
        <v>14</v>
      </c>
      <c r="G8" s="96">
        <f t="shared" ca="1" si="5"/>
        <v>10</v>
      </c>
      <c r="H8" s="105">
        <f t="shared" ca="1" si="8"/>
        <v>0</v>
      </c>
      <c r="I8" s="105">
        <f t="shared" ca="1" si="9"/>
        <v>1</v>
      </c>
      <c r="J8" s="98">
        <f t="shared" ca="1" si="10"/>
        <v>0.1</v>
      </c>
      <c r="K8" s="99">
        <f t="shared" ca="1" si="11"/>
        <v>0.01</v>
      </c>
      <c r="L8" s="99">
        <f t="shared" ca="1" si="12"/>
        <v>1.1100000000000001</v>
      </c>
      <c r="M8" s="96">
        <f ca="1">RANK($L8,$L$3:$L$8,1) + COUNTIF($L$3:$L8,$L8)-1</f>
        <v>1</v>
      </c>
    </row>
    <row r="9" spans="1:24" ht="13.2" collapsed="1" thickBot="1" x14ac:dyDescent="0.25">
      <c r="O9"/>
      <c r="P9"/>
      <c r="Q9"/>
      <c r="R9"/>
    </row>
    <row r="10" spans="1:24" s="4" customFormat="1" ht="24" thickBot="1" x14ac:dyDescent="0.5">
      <c r="A10" s="42" t="s">
        <v>168</v>
      </c>
      <c r="B10" s="74">
        <v>6</v>
      </c>
      <c r="C10" s="72"/>
      <c r="D10" s="73" t="s">
        <v>65</v>
      </c>
      <c r="E10" s="74">
        <f>(B10/2)*(B10-1)</f>
        <v>15</v>
      </c>
      <c r="O10" s="75" t="str">
        <f>TurneringsNavn</f>
        <v>Forårsstævne</v>
      </c>
      <c r="P10" s="5"/>
      <c r="Q10" s="5"/>
      <c r="R10" s="5"/>
      <c r="S10" s="5"/>
      <c r="T10" s="5"/>
      <c r="U10" s="5"/>
      <c r="V10" s="5"/>
      <c r="W10" s="5"/>
      <c r="X10" s="5"/>
    </row>
    <row r="11" spans="1:24" ht="6.75" customHeight="1" x14ac:dyDescent="0.2">
      <c r="K11" s="4"/>
      <c r="L11" s="4"/>
      <c r="O11"/>
      <c r="P11"/>
      <c r="Q11"/>
      <c r="R11"/>
    </row>
    <row r="12" spans="1:24" ht="13.8" x14ac:dyDescent="0.25">
      <c r="B12" s="6" t="s">
        <v>66</v>
      </c>
      <c r="C12" s="6" t="s">
        <v>67</v>
      </c>
      <c r="D12" s="6" t="s">
        <v>68</v>
      </c>
      <c r="E12" s="6" t="s">
        <v>69</v>
      </c>
      <c r="F12" s="6" t="s">
        <v>70</v>
      </c>
      <c r="G12" s="6" t="s">
        <v>71</v>
      </c>
      <c r="H12" s="7" t="s">
        <v>2</v>
      </c>
      <c r="I12" s="6" t="s">
        <v>3</v>
      </c>
      <c r="J12" s="6" t="s">
        <v>4</v>
      </c>
      <c r="K12" s="6" t="s">
        <v>167</v>
      </c>
      <c r="L12" s="4"/>
      <c r="O12" s="128" t="s">
        <v>198</v>
      </c>
      <c r="P12" s="129" t="s">
        <v>176</v>
      </c>
      <c r="Q12" s="129"/>
      <c r="R12" s="130" t="s">
        <v>5</v>
      </c>
      <c r="S12" s="128" t="s">
        <v>6</v>
      </c>
      <c r="T12" s="128" t="s">
        <v>7</v>
      </c>
      <c r="U12" s="128" t="s">
        <v>8</v>
      </c>
      <c r="V12" s="128" t="s">
        <v>9</v>
      </c>
      <c r="W12" s="128" t="s">
        <v>10</v>
      </c>
      <c r="X12" s="131" t="s">
        <v>177</v>
      </c>
    </row>
    <row r="13" spans="1:24" ht="17.399999999999999" x14ac:dyDescent="0.35">
      <c r="A13" s="6" t="s">
        <v>66</v>
      </c>
      <c r="B13" s="8"/>
      <c r="C13" s="9">
        <v>13</v>
      </c>
      <c r="D13" s="9">
        <v>25</v>
      </c>
      <c r="E13" s="9">
        <v>7</v>
      </c>
      <c r="F13" s="9">
        <v>19</v>
      </c>
      <c r="G13" s="9">
        <v>1</v>
      </c>
      <c r="H13" s="10" t="str">
        <f t="shared" ref="H13:H18" ca="1" si="13">IFERROR(CHOOSE((P13=H$54)*1+(P13=I$54)*2+(P13=H$52)*3,"Guld","Sølv","Bronze"),"")</f>
        <v/>
      </c>
      <c r="I13" s="11">
        <f ca="1">COUNTIF(P$21:P$50,$B3)</f>
        <v>5</v>
      </c>
      <c r="J13" s="11">
        <f ca="1">COUNTIF(Q$21:Q$50,$B3)</f>
        <v>5</v>
      </c>
      <c r="K13" s="11">
        <f t="shared" ref="K13:K18" ca="1" si="14">SUM(I13:J13)</f>
        <v>10</v>
      </c>
      <c r="L13" s="4"/>
      <c r="O13" s="119">
        <v>1</v>
      </c>
      <c r="P13" s="120" t="str">
        <f ca="1" xml:space="preserve">  INDEX(teams,MATCH(rankNum,actRank,0))</f>
        <v>Fjerritslev</v>
      </c>
      <c r="Q13" s="120"/>
      <c r="R13" s="127">
        <f t="shared" ref="R13:R18" ca="1" si="15">COUNTIFS(team1,teamName,points1,"&gt;=0")+COUNTIFS(team2,teamName,points2,"&gt;=0")</f>
        <v>10</v>
      </c>
      <c r="S13" s="143">
        <f t="shared" ref="S13:S18" ca="1" si="16">COUNTIFS(team1,teamName,points1,ptv)+COUNTIFS(team2,teamName,points2,ptv)</f>
        <v>7</v>
      </c>
      <c r="T13" s="121">
        <f t="shared" ref="T13:T18" ca="1" si="17">COUNTIFS(team1,teamName,points1,ptu)+COUNTIFS(team2,teamName,points2,ptu)</f>
        <v>0</v>
      </c>
      <c r="U13" s="121">
        <f t="shared" ref="U13:U18" ca="1" si="18">COUNTIFS(team1,teamName,points1,ptt)+COUNTIFS(team2,teamName,points2,ptt)</f>
        <v>3</v>
      </c>
      <c r="V13" s="143">
        <f t="shared" ref="V13:V18" ca="1" si="19">SUMIF(team1,teamName,goals1)+SUMIF(team2,teamName,goals2)</f>
        <v>33</v>
      </c>
      <c r="W13" s="121">
        <f t="shared" ref="W13:W18" ca="1" si="20">SUMIF(team1,teamName,goals2)+SUMIF(team2,teamName,goals1)</f>
        <v>19</v>
      </c>
      <c r="X13" s="144">
        <f t="shared" ref="X13:X18" ca="1" si="21">SUMIFS(points1,team1,teamName)+SUMIFS(points2,team2,teamName)</f>
        <v>21</v>
      </c>
    </row>
    <row r="14" spans="1:24" ht="17.399999999999999" x14ac:dyDescent="0.35">
      <c r="A14" s="6" t="s">
        <v>67</v>
      </c>
      <c r="B14" s="9">
        <v>28</v>
      </c>
      <c r="C14" s="8"/>
      <c r="D14" s="9">
        <v>6</v>
      </c>
      <c r="E14" s="9">
        <v>26</v>
      </c>
      <c r="F14" s="9">
        <v>2</v>
      </c>
      <c r="G14" s="9">
        <v>24</v>
      </c>
      <c r="H14" s="10" t="str">
        <f t="shared" ca="1" si="13"/>
        <v/>
      </c>
      <c r="I14" s="11">
        <f t="shared" ref="I14:J14" ca="1" si="22">COUNTIF(P$21:P$50,$B4)</f>
        <v>5</v>
      </c>
      <c r="J14" s="11">
        <f t="shared" ca="1" si="22"/>
        <v>5</v>
      </c>
      <c r="K14" s="11">
        <f t="shared" ca="1" si="14"/>
        <v>10</v>
      </c>
      <c r="L14" s="4"/>
      <c r="O14" s="119">
        <v>2</v>
      </c>
      <c r="P14" s="120" t="str">
        <f t="shared" ref="P14:P18" ca="1" si="23" xml:space="preserve">  INDEX(teams,MATCH(rankNum,actRank,0))</f>
        <v>Christiansfelt</v>
      </c>
      <c r="Q14" s="120"/>
      <c r="R14" s="127">
        <f t="shared" ca="1" si="15"/>
        <v>10</v>
      </c>
      <c r="S14" s="143">
        <f t="shared" ca="1" si="16"/>
        <v>6</v>
      </c>
      <c r="T14" s="121">
        <f t="shared" ca="1" si="17"/>
        <v>0</v>
      </c>
      <c r="U14" s="121">
        <f t="shared" ca="1" si="18"/>
        <v>4</v>
      </c>
      <c r="V14" s="143">
        <f t="shared" ca="1" si="19"/>
        <v>32</v>
      </c>
      <c r="W14" s="121">
        <f t="shared" ca="1" si="20"/>
        <v>25</v>
      </c>
      <c r="X14" s="144">
        <f t="shared" ca="1" si="21"/>
        <v>18</v>
      </c>
    </row>
    <row r="15" spans="1:24" ht="17.399999999999999" x14ac:dyDescent="0.35">
      <c r="A15" s="6" t="s">
        <v>68</v>
      </c>
      <c r="B15" s="9">
        <v>10</v>
      </c>
      <c r="C15" s="9">
        <v>21</v>
      </c>
      <c r="D15" s="8"/>
      <c r="E15" s="9">
        <v>3</v>
      </c>
      <c r="F15" s="9">
        <v>23</v>
      </c>
      <c r="G15" s="9">
        <v>14</v>
      </c>
      <c r="H15" s="10" t="str">
        <f t="shared" ca="1" si="13"/>
        <v/>
      </c>
      <c r="I15" s="11">
        <f t="shared" ref="I15:J15" ca="1" si="24">COUNTIF(P$21:P$50,$B5)</f>
        <v>5</v>
      </c>
      <c r="J15" s="11">
        <f t="shared" ca="1" si="24"/>
        <v>5</v>
      </c>
      <c r="K15" s="11">
        <f t="shared" ca="1" si="14"/>
        <v>10</v>
      </c>
      <c r="L15" s="4"/>
      <c r="O15" s="119">
        <v>3</v>
      </c>
      <c r="P15" s="120" t="str">
        <f t="shared" ca="1" si="23"/>
        <v>Ejby</v>
      </c>
      <c r="Q15" s="120"/>
      <c r="R15" s="127">
        <f t="shared" ca="1" si="15"/>
        <v>10</v>
      </c>
      <c r="S15" s="143">
        <f t="shared" ca="1" si="16"/>
        <v>5</v>
      </c>
      <c r="T15" s="121">
        <f t="shared" ca="1" si="17"/>
        <v>2</v>
      </c>
      <c r="U15" s="121">
        <f t="shared" ca="1" si="18"/>
        <v>3</v>
      </c>
      <c r="V15" s="143">
        <f t="shared" ca="1" si="19"/>
        <v>28</v>
      </c>
      <c r="W15" s="121">
        <f t="shared" ca="1" si="20"/>
        <v>25</v>
      </c>
      <c r="X15" s="144">
        <f t="shared" ca="1" si="21"/>
        <v>17</v>
      </c>
    </row>
    <row r="16" spans="1:24" ht="17.399999999999999" x14ac:dyDescent="0.35">
      <c r="A16" s="6" t="s">
        <v>69</v>
      </c>
      <c r="B16" s="9">
        <v>22</v>
      </c>
      <c r="C16" s="9">
        <v>11</v>
      </c>
      <c r="D16" s="9">
        <v>18</v>
      </c>
      <c r="E16" s="8"/>
      <c r="F16" s="9">
        <v>15</v>
      </c>
      <c r="G16" s="9">
        <v>20</v>
      </c>
      <c r="H16" s="10" t="str">
        <f t="shared" ca="1" si="13"/>
        <v/>
      </c>
      <c r="I16" s="11">
        <f t="shared" ref="I16:J16" ca="1" si="25">COUNTIF(P$21:P$50,$B6)</f>
        <v>5</v>
      </c>
      <c r="J16" s="11">
        <f t="shared" ca="1" si="25"/>
        <v>5</v>
      </c>
      <c r="K16" s="11">
        <f t="shared" ca="1" si="14"/>
        <v>10</v>
      </c>
      <c r="L16" s="4"/>
      <c r="O16" s="119">
        <v>4</v>
      </c>
      <c r="P16" s="120" t="str">
        <f t="shared" ca="1" si="23"/>
        <v>Dragør</v>
      </c>
      <c r="Q16" s="120"/>
      <c r="R16" s="127">
        <f t="shared" ca="1" si="15"/>
        <v>10</v>
      </c>
      <c r="S16" s="143">
        <f t="shared" ca="1" si="16"/>
        <v>5</v>
      </c>
      <c r="T16" s="121">
        <f t="shared" ca="1" si="17"/>
        <v>0</v>
      </c>
      <c r="U16" s="121">
        <f t="shared" ca="1" si="18"/>
        <v>5</v>
      </c>
      <c r="V16" s="143">
        <f t="shared" ca="1" si="19"/>
        <v>28</v>
      </c>
      <c r="W16" s="121">
        <f t="shared" ca="1" si="20"/>
        <v>34</v>
      </c>
      <c r="X16" s="144">
        <f t="shared" ca="1" si="21"/>
        <v>15</v>
      </c>
    </row>
    <row r="17" spans="1:24" ht="17.399999999999999" x14ac:dyDescent="0.35">
      <c r="A17" s="6" t="s">
        <v>70</v>
      </c>
      <c r="B17" s="9">
        <v>4</v>
      </c>
      <c r="C17" s="9">
        <v>17</v>
      </c>
      <c r="D17" s="9">
        <v>8</v>
      </c>
      <c r="E17" s="9">
        <v>30</v>
      </c>
      <c r="F17" s="8"/>
      <c r="G17" s="9">
        <v>12</v>
      </c>
      <c r="H17" s="10" t="str">
        <f t="shared" ca="1" si="13"/>
        <v/>
      </c>
      <c r="I17" s="11">
        <f t="shared" ref="I17:J17" ca="1" si="26">COUNTIF(P$21:P$50,$B7)</f>
        <v>5</v>
      </c>
      <c r="J17" s="11">
        <f t="shared" ca="1" si="26"/>
        <v>5</v>
      </c>
      <c r="K17" s="11">
        <f t="shared" ca="1" si="14"/>
        <v>10</v>
      </c>
      <c r="L17" s="4"/>
      <c r="O17" s="119">
        <v>5</v>
      </c>
      <c r="P17" s="120" t="str">
        <f t="shared" ca="1" si="23"/>
        <v>Bogense</v>
      </c>
      <c r="Q17" s="120"/>
      <c r="R17" s="127">
        <f t="shared" ca="1" si="15"/>
        <v>10</v>
      </c>
      <c r="S17" s="143">
        <f t="shared" ca="1" si="16"/>
        <v>2</v>
      </c>
      <c r="T17" s="121">
        <f t="shared" ca="1" si="17"/>
        <v>2</v>
      </c>
      <c r="U17" s="121">
        <f t="shared" ca="1" si="18"/>
        <v>6</v>
      </c>
      <c r="V17" s="143">
        <f t="shared" ca="1" si="19"/>
        <v>27</v>
      </c>
      <c r="W17" s="121">
        <f t="shared" ca="1" si="20"/>
        <v>34</v>
      </c>
      <c r="X17" s="144">
        <f t="shared" ca="1" si="21"/>
        <v>8</v>
      </c>
    </row>
    <row r="18" spans="1:24" ht="17.399999999999999" x14ac:dyDescent="0.35">
      <c r="A18" s="6" t="s">
        <v>71</v>
      </c>
      <c r="B18" s="9">
        <v>16</v>
      </c>
      <c r="C18" s="9">
        <v>9</v>
      </c>
      <c r="D18" s="9">
        <v>29</v>
      </c>
      <c r="E18" s="9">
        <v>5</v>
      </c>
      <c r="F18" s="9">
        <v>27</v>
      </c>
      <c r="G18" s="8"/>
      <c r="H18" s="10" t="str">
        <f t="shared" ca="1" si="13"/>
        <v/>
      </c>
      <c r="I18" s="11">
        <f t="shared" ref="I18:J18" ca="1" si="27">COUNTIF(P$21:P$50,$B8)</f>
        <v>5</v>
      </c>
      <c r="J18" s="11">
        <f t="shared" ca="1" si="27"/>
        <v>5</v>
      </c>
      <c r="K18" s="11">
        <f t="shared" ca="1" si="14"/>
        <v>10</v>
      </c>
      <c r="L18" s="4"/>
      <c r="O18" s="119">
        <v>6</v>
      </c>
      <c r="P18" s="120" t="str">
        <f t="shared" ca="1" si="23"/>
        <v>Assens</v>
      </c>
      <c r="Q18" s="120"/>
      <c r="R18" s="127">
        <f t="shared" ca="1" si="15"/>
        <v>10</v>
      </c>
      <c r="S18" s="143">
        <f t="shared" ca="1" si="16"/>
        <v>2</v>
      </c>
      <c r="T18" s="121">
        <f t="shared" ca="1" si="17"/>
        <v>2</v>
      </c>
      <c r="U18" s="121">
        <f t="shared" ca="1" si="18"/>
        <v>6</v>
      </c>
      <c r="V18" s="143">
        <f t="shared" ca="1" si="19"/>
        <v>21</v>
      </c>
      <c r="W18" s="121">
        <f t="shared" ca="1" si="20"/>
        <v>32</v>
      </c>
      <c r="X18" s="144">
        <f t="shared" ca="1" si="21"/>
        <v>8</v>
      </c>
    </row>
    <row r="19" spans="1:24" x14ac:dyDescent="0.2">
      <c r="O19"/>
      <c r="P19"/>
      <c r="Q19"/>
      <c r="R19"/>
    </row>
    <row r="20" spans="1:24" s="12" customFormat="1" ht="15" thickBot="1" x14ac:dyDescent="0.35">
      <c r="C20" s="44" t="s">
        <v>17</v>
      </c>
      <c r="D20" s="45" t="s">
        <v>18</v>
      </c>
      <c r="E20" s="61" t="s">
        <v>19</v>
      </c>
      <c r="F20" s="47" t="s">
        <v>20</v>
      </c>
      <c r="G20" s="47" t="s">
        <v>21</v>
      </c>
      <c r="H20" s="47" t="s">
        <v>22</v>
      </c>
      <c r="I20" s="47" t="s">
        <v>23</v>
      </c>
      <c r="J20" s="48" t="s">
        <v>24</v>
      </c>
      <c r="K20" s="49" t="s">
        <v>25</v>
      </c>
      <c r="L20" s="49"/>
      <c r="O20" s="140" t="s">
        <v>5</v>
      </c>
      <c r="P20" s="139" t="s">
        <v>26</v>
      </c>
      <c r="Q20" s="139" t="s">
        <v>27</v>
      </c>
      <c r="R20" s="179" t="s">
        <v>28</v>
      </c>
      <c r="S20" s="179" t="s">
        <v>29</v>
      </c>
      <c r="T20" s="179" t="s">
        <v>30</v>
      </c>
      <c r="U20" s="180" t="s">
        <v>31</v>
      </c>
      <c r="V20" s="180" t="s">
        <v>31</v>
      </c>
      <c r="W20" s="138" t="s">
        <v>32</v>
      </c>
      <c r="X20" s="138" t="s">
        <v>32</v>
      </c>
    </row>
    <row r="21" spans="1:24" ht="17.399999999999999" x14ac:dyDescent="0.35">
      <c r="A21" s="13"/>
      <c r="B21" s="14"/>
      <c r="C21" s="50" t="s">
        <v>96</v>
      </c>
      <c r="D21" s="51"/>
      <c r="E21" s="50">
        <v>1</v>
      </c>
      <c r="F21" s="52">
        <f t="shared" ref="F21:F50" si="28">SUMPRODUCT((HxA=$E21)*(COLUMN(HxA)))-COLUMN(HxA)+1</f>
        <v>7</v>
      </c>
      <c r="G21" s="52">
        <f t="shared" ref="G21:G50" si="29">SUMPRODUCT((HxA=$E21)*(ROW(HxA)))-ROW(HxA)+1</f>
        <v>2</v>
      </c>
      <c r="H21" s="53" t="str">
        <f t="shared" ref="H21:H50" si="30">INDEX(HxA,G21,1)</f>
        <v>T_01</v>
      </c>
      <c r="I21" s="53" t="str">
        <f t="shared" ref="I21:I50" si="31">INDEX(HxA,1,F21)</f>
        <v>T_06</v>
      </c>
      <c r="J21" s="54"/>
      <c r="K21" s="55">
        <v>43832</v>
      </c>
      <c r="L21" s="71"/>
      <c r="O21" s="122">
        <v>1</v>
      </c>
      <c r="P21" s="122" t="str">
        <f t="shared" ref="P21:P50" ca="1" si="32">INDIRECT(H21)</f>
        <v>Assens</v>
      </c>
      <c r="Q21" s="122" t="str">
        <f t="shared" ref="Q21:Q50" ca="1" si="33">INDIRECT(I21)</f>
        <v>Fjerritslev</v>
      </c>
      <c r="R21" s="161">
        <v>43832</v>
      </c>
      <c r="S21" s="162" t="s">
        <v>33</v>
      </c>
      <c r="T21" s="163">
        <v>1</v>
      </c>
      <c r="U21" s="164">
        <v>1</v>
      </c>
      <c r="V21" s="165">
        <v>0</v>
      </c>
      <c r="W21" s="121">
        <f t="shared" ref="W21:W50" si="34">IF(ISNUMBER(U21)*ISNUMBER(V21),IF(U21&gt;V21,ptv, IF(U21=V21,ptu,ptt)),"-")</f>
        <v>3</v>
      </c>
      <c r="X21" s="121">
        <f t="shared" ref="X21:X50" si="35">IF(ISNUMBER(U21)*ISNUMBER(V21),IF(W21=ptv,ptt,IF(W21=ptu,ptu,ptv)),"-")</f>
        <v>0</v>
      </c>
    </row>
    <row r="22" spans="1:24" ht="17.399999999999999" x14ac:dyDescent="0.35">
      <c r="A22" s="13"/>
      <c r="B22" s="14"/>
      <c r="C22" s="56" t="s">
        <v>89</v>
      </c>
      <c r="D22" s="57">
        <f>OR(H22=H21,H22=I21,I22=H21,I22=I21)*1</f>
        <v>0</v>
      </c>
      <c r="E22" s="56">
        <v>2</v>
      </c>
      <c r="F22" s="58">
        <f t="shared" si="28"/>
        <v>6</v>
      </c>
      <c r="G22" s="58">
        <f t="shared" si="29"/>
        <v>3</v>
      </c>
      <c r="H22" s="59" t="str">
        <f t="shared" si="30"/>
        <v>T_02</v>
      </c>
      <c r="I22" s="59" t="str">
        <f t="shared" si="31"/>
        <v>T_05</v>
      </c>
      <c r="J22" s="59">
        <v>0</v>
      </c>
      <c r="K22" s="60">
        <f>$K$21+J22</f>
        <v>43832</v>
      </c>
      <c r="L22" s="71"/>
      <c r="O22" s="122">
        <v>2</v>
      </c>
      <c r="P22" s="122" t="str">
        <f t="shared" ca="1" si="32"/>
        <v>Bogense</v>
      </c>
      <c r="Q22" s="122" t="str">
        <f t="shared" ca="1" si="33"/>
        <v>Ejby</v>
      </c>
      <c r="R22" s="134">
        <v>43832</v>
      </c>
      <c r="S22" s="123" t="str">
        <f>IFERROR(S21+mMin,"-")</f>
        <v>-</v>
      </c>
      <c r="T22" s="146">
        <v>2</v>
      </c>
      <c r="U22" s="147">
        <v>5</v>
      </c>
      <c r="V22" s="148">
        <v>5</v>
      </c>
      <c r="W22" s="121">
        <f t="shared" si="34"/>
        <v>1</v>
      </c>
      <c r="X22" s="121">
        <f t="shared" si="35"/>
        <v>1</v>
      </c>
    </row>
    <row r="23" spans="1:24" ht="18" thickBot="1" x14ac:dyDescent="0.4">
      <c r="A23" s="13"/>
      <c r="B23" s="14"/>
      <c r="C23" s="67" t="s">
        <v>90</v>
      </c>
      <c r="D23" s="66">
        <f t="shared" ref="D23:D50" si="36">OR(H23=H22,H23=I22,I23=H22,I23=I22)*1</f>
        <v>0</v>
      </c>
      <c r="E23" s="67">
        <v>3</v>
      </c>
      <c r="F23" s="68">
        <f t="shared" si="28"/>
        <v>5</v>
      </c>
      <c r="G23" s="68">
        <f t="shared" si="29"/>
        <v>4</v>
      </c>
      <c r="H23" s="69" t="str">
        <f t="shared" si="30"/>
        <v>T_03</v>
      </c>
      <c r="I23" s="69" t="str">
        <f t="shared" si="31"/>
        <v>T_04</v>
      </c>
      <c r="J23" s="69">
        <v>0</v>
      </c>
      <c r="K23" s="70">
        <f t="shared" ref="K23:K54" si="37">$K$21+J23</f>
        <v>43832</v>
      </c>
      <c r="L23" s="71"/>
      <c r="O23" s="124">
        <v>3</v>
      </c>
      <c r="P23" s="124" t="str">
        <f t="shared" ca="1" si="32"/>
        <v>Christiansfelt</v>
      </c>
      <c r="Q23" s="124" t="str">
        <f t="shared" ca="1" si="33"/>
        <v>Dragør</v>
      </c>
      <c r="R23" s="135">
        <v>43832</v>
      </c>
      <c r="S23" s="125" t="str">
        <f>IFERROR(S22+mMin,"-")</f>
        <v>-</v>
      </c>
      <c r="T23" s="149">
        <v>1</v>
      </c>
      <c r="U23" s="150">
        <v>3</v>
      </c>
      <c r="V23" s="151">
        <v>5</v>
      </c>
      <c r="W23" s="126">
        <f t="shared" si="34"/>
        <v>0</v>
      </c>
      <c r="X23" s="126">
        <f t="shared" si="35"/>
        <v>3</v>
      </c>
    </row>
    <row r="24" spans="1:24" ht="17.399999999999999" x14ac:dyDescent="0.35">
      <c r="A24" s="13"/>
      <c r="B24" s="14"/>
      <c r="C24" s="63" t="s">
        <v>101</v>
      </c>
      <c r="D24" s="62">
        <f t="shared" si="36"/>
        <v>0</v>
      </c>
      <c r="E24" s="63">
        <v>4</v>
      </c>
      <c r="F24" s="51">
        <f t="shared" si="28"/>
        <v>2</v>
      </c>
      <c r="G24" s="51">
        <f t="shared" si="29"/>
        <v>6</v>
      </c>
      <c r="H24" s="64" t="str">
        <f t="shared" si="30"/>
        <v>T_05</v>
      </c>
      <c r="I24" s="64" t="str">
        <f t="shared" si="31"/>
        <v>T_01</v>
      </c>
      <c r="J24" s="64">
        <v>1</v>
      </c>
      <c r="K24" s="65">
        <f t="shared" si="37"/>
        <v>43833</v>
      </c>
      <c r="L24" s="71"/>
      <c r="O24" s="160">
        <v>4</v>
      </c>
      <c r="P24" s="160" t="str">
        <f t="shared" ca="1" si="32"/>
        <v>Ejby</v>
      </c>
      <c r="Q24" s="160" t="str">
        <f t="shared" ca="1" si="33"/>
        <v>Assens</v>
      </c>
      <c r="R24" s="161">
        <v>43833</v>
      </c>
      <c r="S24" s="162" t="s">
        <v>33</v>
      </c>
      <c r="T24" s="163">
        <v>2</v>
      </c>
      <c r="U24" s="164">
        <v>2</v>
      </c>
      <c r="V24" s="165">
        <v>2</v>
      </c>
      <c r="W24" s="166">
        <f t="shared" si="34"/>
        <v>1</v>
      </c>
      <c r="X24" s="166">
        <f t="shared" si="35"/>
        <v>1</v>
      </c>
    </row>
    <row r="25" spans="1:24" ht="17.399999999999999" x14ac:dyDescent="0.35">
      <c r="A25" s="13"/>
      <c r="B25" s="14"/>
      <c r="C25" s="56" t="s">
        <v>102</v>
      </c>
      <c r="D25" s="57">
        <f t="shared" si="36"/>
        <v>0</v>
      </c>
      <c r="E25" s="56">
        <v>5</v>
      </c>
      <c r="F25" s="58">
        <f t="shared" si="28"/>
        <v>5</v>
      </c>
      <c r="G25" s="58">
        <f t="shared" si="29"/>
        <v>7</v>
      </c>
      <c r="H25" s="59" t="str">
        <f t="shared" si="30"/>
        <v>T_06</v>
      </c>
      <c r="I25" s="59" t="str">
        <f t="shared" si="31"/>
        <v>T_04</v>
      </c>
      <c r="J25" s="59">
        <v>1</v>
      </c>
      <c r="K25" s="60">
        <f t="shared" si="37"/>
        <v>43833</v>
      </c>
      <c r="L25" s="71"/>
      <c r="O25" s="122">
        <v>5</v>
      </c>
      <c r="P25" s="122" t="str">
        <f t="shared" ca="1" si="32"/>
        <v>Fjerritslev</v>
      </c>
      <c r="Q25" s="122" t="str">
        <f t="shared" ca="1" si="33"/>
        <v>Dragør</v>
      </c>
      <c r="R25" s="134">
        <v>43833</v>
      </c>
      <c r="S25" s="123" t="str">
        <f>IFERROR(S24+mMin,"-")</f>
        <v>-</v>
      </c>
      <c r="T25" s="146">
        <v>1</v>
      </c>
      <c r="U25" s="147">
        <v>5</v>
      </c>
      <c r="V25" s="148">
        <v>3</v>
      </c>
      <c r="W25" s="121">
        <f t="shared" si="34"/>
        <v>3</v>
      </c>
      <c r="X25" s="121">
        <f t="shared" si="35"/>
        <v>0</v>
      </c>
    </row>
    <row r="26" spans="1:24" ht="18" thickBot="1" x14ac:dyDescent="0.4">
      <c r="A26" s="13"/>
      <c r="B26" s="14"/>
      <c r="C26" s="67" t="s">
        <v>95</v>
      </c>
      <c r="D26" s="66">
        <f t="shared" si="36"/>
        <v>0</v>
      </c>
      <c r="E26" s="67">
        <v>6</v>
      </c>
      <c r="F26" s="68">
        <f t="shared" si="28"/>
        <v>4</v>
      </c>
      <c r="G26" s="68">
        <f t="shared" si="29"/>
        <v>3</v>
      </c>
      <c r="H26" s="69" t="str">
        <f t="shared" si="30"/>
        <v>T_02</v>
      </c>
      <c r="I26" s="69" t="str">
        <f t="shared" si="31"/>
        <v>T_03</v>
      </c>
      <c r="J26" s="69">
        <v>1</v>
      </c>
      <c r="K26" s="70">
        <f t="shared" si="37"/>
        <v>43833</v>
      </c>
      <c r="L26" s="71"/>
      <c r="O26" s="124">
        <v>6</v>
      </c>
      <c r="P26" s="124" t="str">
        <f t="shared" ca="1" si="32"/>
        <v>Bogense</v>
      </c>
      <c r="Q26" s="124" t="str">
        <f t="shared" ca="1" si="33"/>
        <v>Christiansfelt</v>
      </c>
      <c r="R26" s="135">
        <v>43833</v>
      </c>
      <c r="S26" s="125" t="str">
        <f>IFERROR(S25+mMin,"-")</f>
        <v>-</v>
      </c>
      <c r="T26" s="149">
        <v>2</v>
      </c>
      <c r="U26" s="150">
        <v>0</v>
      </c>
      <c r="V26" s="151">
        <v>3</v>
      </c>
      <c r="W26" s="126">
        <f t="shared" si="34"/>
        <v>0</v>
      </c>
      <c r="X26" s="126">
        <f t="shared" si="35"/>
        <v>3</v>
      </c>
    </row>
    <row r="27" spans="1:24" ht="17.399999999999999" x14ac:dyDescent="0.35">
      <c r="A27" s="13"/>
      <c r="B27" s="14"/>
      <c r="C27" s="63" t="s">
        <v>106</v>
      </c>
      <c r="D27" s="62">
        <f t="shared" si="36"/>
        <v>0</v>
      </c>
      <c r="E27" s="63">
        <v>7</v>
      </c>
      <c r="F27" s="51">
        <f t="shared" si="28"/>
        <v>5</v>
      </c>
      <c r="G27" s="51">
        <f t="shared" si="29"/>
        <v>2</v>
      </c>
      <c r="H27" s="64" t="str">
        <f t="shared" si="30"/>
        <v>T_01</v>
      </c>
      <c r="I27" s="64" t="str">
        <f t="shared" si="31"/>
        <v>T_04</v>
      </c>
      <c r="J27" s="64">
        <v>2</v>
      </c>
      <c r="K27" s="65">
        <f t="shared" si="37"/>
        <v>43834</v>
      </c>
      <c r="L27" s="71"/>
      <c r="O27" s="122">
        <v>7</v>
      </c>
      <c r="P27" s="122" t="str">
        <f t="shared" ca="1" si="32"/>
        <v>Assens</v>
      </c>
      <c r="Q27" s="122" t="str">
        <f t="shared" ca="1" si="33"/>
        <v>Dragør</v>
      </c>
      <c r="R27" s="134">
        <v>43834</v>
      </c>
      <c r="S27" s="123" t="s">
        <v>33</v>
      </c>
      <c r="T27" s="146">
        <v>1</v>
      </c>
      <c r="U27" s="147">
        <v>5</v>
      </c>
      <c r="V27" s="148">
        <v>3</v>
      </c>
      <c r="W27" s="121">
        <f t="shared" si="34"/>
        <v>3</v>
      </c>
      <c r="X27" s="121">
        <f t="shared" si="35"/>
        <v>0</v>
      </c>
    </row>
    <row r="28" spans="1:24" ht="17.399999999999999" x14ac:dyDescent="0.35">
      <c r="A28" s="13"/>
      <c r="B28" s="14"/>
      <c r="C28" s="56" t="s">
        <v>107</v>
      </c>
      <c r="D28" s="57">
        <f t="shared" si="36"/>
        <v>0</v>
      </c>
      <c r="E28" s="56">
        <v>8</v>
      </c>
      <c r="F28" s="58">
        <f t="shared" si="28"/>
        <v>4</v>
      </c>
      <c r="G28" s="58">
        <f t="shared" si="29"/>
        <v>6</v>
      </c>
      <c r="H28" s="59" t="str">
        <f t="shared" si="30"/>
        <v>T_05</v>
      </c>
      <c r="I28" s="59" t="str">
        <f t="shared" si="31"/>
        <v>T_03</v>
      </c>
      <c r="J28" s="59">
        <v>2</v>
      </c>
      <c r="K28" s="60">
        <f t="shared" si="37"/>
        <v>43834</v>
      </c>
      <c r="L28" s="71"/>
      <c r="O28" s="122">
        <v>8</v>
      </c>
      <c r="P28" s="122" t="str">
        <f t="shared" ca="1" si="32"/>
        <v>Ejby</v>
      </c>
      <c r="Q28" s="122" t="str">
        <f t="shared" ca="1" si="33"/>
        <v>Christiansfelt</v>
      </c>
      <c r="R28" s="134">
        <v>43834</v>
      </c>
      <c r="S28" s="123" t="str">
        <f>IFERROR(S27+mMin,"-")</f>
        <v>-</v>
      </c>
      <c r="T28" s="146">
        <v>2</v>
      </c>
      <c r="U28" s="147">
        <v>1</v>
      </c>
      <c r="V28" s="148">
        <v>5</v>
      </c>
      <c r="W28" s="121">
        <f t="shared" si="34"/>
        <v>0</v>
      </c>
      <c r="X28" s="121">
        <f t="shared" si="35"/>
        <v>3</v>
      </c>
    </row>
    <row r="29" spans="1:24" ht="18" thickBot="1" x14ac:dyDescent="0.4">
      <c r="A29" s="13"/>
      <c r="B29" s="14"/>
      <c r="C29" s="67" t="s">
        <v>108</v>
      </c>
      <c r="D29" s="66">
        <f t="shared" si="36"/>
        <v>0</v>
      </c>
      <c r="E29" s="67">
        <v>9</v>
      </c>
      <c r="F29" s="68">
        <f t="shared" si="28"/>
        <v>3</v>
      </c>
      <c r="G29" s="68">
        <f t="shared" si="29"/>
        <v>7</v>
      </c>
      <c r="H29" s="69" t="str">
        <f t="shared" si="30"/>
        <v>T_06</v>
      </c>
      <c r="I29" s="69" t="str">
        <f t="shared" si="31"/>
        <v>T_02</v>
      </c>
      <c r="J29" s="69">
        <v>2</v>
      </c>
      <c r="K29" s="70">
        <f t="shared" si="37"/>
        <v>43834</v>
      </c>
      <c r="L29" s="71"/>
      <c r="O29" s="124">
        <v>9</v>
      </c>
      <c r="P29" s="124" t="str">
        <f t="shared" ca="1" si="32"/>
        <v>Fjerritslev</v>
      </c>
      <c r="Q29" s="124" t="str">
        <f t="shared" ca="1" si="33"/>
        <v>Bogense</v>
      </c>
      <c r="R29" s="135">
        <v>43834</v>
      </c>
      <c r="S29" s="125" t="str">
        <f>IFERROR(S28+mMin,"-")</f>
        <v>-</v>
      </c>
      <c r="T29" s="149">
        <v>1</v>
      </c>
      <c r="U29" s="150">
        <v>1</v>
      </c>
      <c r="V29" s="151">
        <v>4</v>
      </c>
      <c r="W29" s="126">
        <f t="shared" si="34"/>
        <v>0</v>
      </c>
      <c r="X29" s="126">
        <f t="shared" si="35"/>
        <v>3</v>
      </c>
    </row>
    <row r="30" spans="1:24" ht="17.399999999999999" x14ac:dyDescent="0.35">
      <c r="A30" s="13"/>
      <c r="B30" s="14"/>
      <c r="C30" s="63" t="s">
        <v>111</v>
      </c>
      <c r="D30" s="62">
        <f t="shared" si="36"/>
        <v>0</v>
      </c>
      <c r="E30" s="63">
        <v>10</v>
      </c>
      <c r="F30" s="51">
        <f t="shared" si="28"/>
        <v>2</v>
      </c>
      <c r="G30" s="51">
        <f t="shared" si="29"/>
        <v>4</v>
      </c>
      <c r="H30" s="64" t="str">
        <f t="shared" si="30"/>
        <v>T_03</v>
      </c>
      <c r="I30" s="64" t="str">
        <f t="shared" si="31"/>
        <v>T_01</v>
      </c>
      <c r="J30" s="64">
        <v>3</v>
      </c>
      <c r="K30" s="65">
        <f t="shared" si="37"/>
        <v>43835</v>
      </c>
      <c r="L30" s="71"/>
      <c r="O30" s="122">
        <v>10</v>
      </c>
      <c r="P30" s="122" t="str">
        <f t="shared" ca="1" si="32"/>
        <v>Christiansfelt</v>
      </c>
      <c r="Q30" s="122" t="str">
        <f t="shared" ca="1" si="33"/>
        <v>Assens</v>
      </c>
      <c r="R30" s="134">
        <v>43835</v>
      </c>
      <c r="S30" s="123" t="s">
        <v>33</v>
      </c>
      <c r="T30" s="146">
        <v>2</v>
      </c>
      <c r="U30" s="147">
        <v>4</v>
      </c>
      <c r="V30" s="148">
        <v>2</v>
      </c>
      <c r="W30" s="121">
        <f t="shared" si="34"/>
        <v>3</v>
      </c>
      <c r="X30" s="121">
        <f t="shared" si="35"/>
        <v>0</v>
      </c>
    </row>
    <row r="31" spans="1:24" ht="17.399999999999999" x14ac:dyDescent="0.35">
      <c r="A31" s="13"/>
      <c r="B31" s="14"/>
      <c r="C31" s="56" t="s">
        <v>112</v>
      </c>
      <c r="D31" s="57">
        <f t="shared" si="36"/>
        <v>0</v>
      </c>
      <c r="E31" s="56">
        <v>11</v>
      </c>
      <c r="F31" s="58">
        <f t="shared" si="28"/>
        <v>3</v>
      </c>
      <c r="G31" s="58">
        <f t="shared" si="29"/>
        <v>5</v>
      </c>
      <c r="H31" s="59" t="str">
        <f t="shared" si="30"/>
        <v>T_04</v>
      </c>
      <c r="I31" s="59" t="str">
        <f t="shared" si="31"/>
        <v>T_02</v>
      </c>
      <c r="J31" s="59">
        <v>3</v>
      </c>
      <c r="K31" s="60">
        <f t="shared" si="37"/>
        <v>43835</v>
      </c>
      <c r="L31" s="71"/>
      <c r="O31" s="122">
        <v>11</v>
      </c>
      <c r="P31" s="122" t="str">
        <f t="shared" ca="1" si="32"/>
        <v>Dragør</v>
      </c>
      <c r="Q31" s="122" t="str">
        <f t="shared" ca="1" si="33"/>
        <v>Bogense</v>
      </c>
      <c r="R31" s="134">
        <v>43835</v>
      </c>
      <c r="S31" s="123" t="str">
        <f>IFERROR(S30+mMin,"-")</f>
        <v>-</v>
      </c>
      <c r="T31" s="146">
        <v>1</v>
      </c>
      <c r="U31" s="147">
        <v>4</v>
      </c>
      <c r="V31" s="148">
        <v>2</v>
      </c>
      <c r="W31" s="121">
        <f t="shared" si="34"/>
        <v>3</v>
      </c>
      <c r="X31" s="121">
        <f t="shared" si="35"/>
        <v>0</v>
      </c>
    </row>
    <row r="32" spans="1:24" ht="18" thickBot="1" x14ac:dyDescent="0.4">
      <c r="A32" s="13"/>
      <c r="B32" s="14"/>
      <c r="C32" s="67" t="s">
        <v>80</v>
      </c>
      <c r="D32" s="66">
        <f t="shared" si="36"/>
        <v>0</v>
      </c>
      <c r="E32" s="67">
        <v>12</v>
      </c>
      <c r="F32" s="68">
        <f t="shared" si="28"/>
        <v>7</v>
      </c>
      <c r="G32" s="68">
        <f t="shared" si="29"/>
        <v>6</v>
      </c>
      <c r="H32" s="69" t="str">
        <f t="shared" si="30"/>
        <v>T_05</v>
      </c>
      <c r="I32" s="69" t="str">
        <f t="shared" si="31"/>
        <v>T_06</v>
      </c>
      <c r="J32" s="69">
        <v>3</v>
      </c>
      <c r="K32" s="70">
        <f t="shared" si="37"/>
        <v>43835</v>
      </c>
      <c r="L32" s="71"/>
      <c r="O32" s="124">
        <v>12</v>
      </c>
      <c r="P32" s="124" t="str">
        <f t="shared" ca="1" si="32"/>
        <v>Ejby</v>
      </c>
      <c r="Q32" s="124" t="str">
        <f t="shared" ca="1" si="33"/>
        <v>Fjerritslev</v>
      </c>
      <c r="R32" s="135">
        <v>43835</v>
      </c>
      <c r="S32" s="125" t="str">
        <f>IFERROR(S31+mMin,"-")</f>
        <v>-</v>
      </c>
      <c r="T32" s="149">
        <v>2</v>
      </c>
      <c r="U32" s="150">
        <v>2</v>
      </c>
      <c r="V32" s="151">
        <v>1</v>
      </c>
      <c r="W32" s="126">
        <f t="shared" si="34"/>
        <v>3</v>
      </c>
      <c r="X32" s="126">
        <f t="shared" si="35"/>
        <v>0</v>
      </c>
    </row>
    <row r="33" spans="1:24" ht="17.399999999999999" x14ac:dyDescent="0.35">
      <c r="A33" s="13"/>
      <c r="B33" s="14"/>
      <c r="C33" s="63" t="s">
        <v>116</v>
      </c>
      <c r="D33" s="62">
        <f t="shared" si="36"/>
        <v>0</v>
      </c>
      <c r="E33" s="63">
        <v>13</v>
      </c>
      <c r="F33" s="51">
        <f t="shared" si="28"/>
        <v>3</v>
      </c>
      <c r="G33" s="51">
        <f t="shared" si="29"/>
        <v>2</v>
      </c>
      <c r="H33" s="64" t="str">
        <f t="shared" si="30"/>
        <v>T_01</v>
      </c>
      <c r="I33" s="64" t="str">
        <f t="shared" si="31"/>
        <v>T_02</v>
      </c>
      <c r="J33" s="64">
        <v>4</v>
      </c>
      <c r="K33" s="65">
        <f t="shared" si="37"/>
        <v>43836</v>
      </c>
      <c r="L33" s="71"/>
      <c r="O33" s="122">
        <v>13</v>
      </c>
      <c r="P33" s="122" t="str">
        <f t="shared" ca="1" si="32"/>
        <v>Assens</v>
      </c>
      <c r="Q33" s="122" t="str">
        <f t="shared" ca="1" si="33"/>
        <v>Bogense</v>
      </c>
      <c r="R33" s="134">
        <v>43836</v>
      </c>
      <c r="S33" s="123" t="s">
        <v>33</v>
      </c>
      <c r="T33" s="146">
        <v>1</v>
      </c>
      <c r="U33" s="147">
        <v>2</v>
      </c>
      <c r="V33" s="148">
        <v>4</v>
      </c>
      <c r="W33" s="121">
        <f t="shared" si="34"/>
        <v>0</v>
      </c>
      <c r="X33" s="121">
        <f t="shared" si="35"/>
        <v>3</v>
      </c>
    </row>
    <row r="34" spans="1:24" ht="17.399999999999999" x14ac:dyDescent="0.35">
      <c r="A34" s="13"/>
      <c r="B34" s="14"/>
      <c r="C34" s="56" t="s">
        <v>84</v>
      </c>
      <c r="D34" s="57">
        <f t="shared" si="36"/>
        <v>0</v>
      </c>
      <c r="E34" s="56">
        <v>14</v>
      </c>
      <c r="F34" s="58">
        <f t="shared" si="28"/>
        <v>7</v>
      </c>
      <c r="G34" s="58">
        <f t="shared" si="29"/>
        <v>4</v>
      </c>
      <c r="H34" s="59" t="str">
        <f t="shared" si="30"/>
        <v>T_03</v>
      </c>
      <c r="I34" s="59" t="str">
        <f t="shared" si="31"/>
        <v>T_06</v>
      </c>
      <c r="J34" s="59">
        <v>4</v>
      </c>
      <c r="K34" s="60">
        <f t="shared" si="37"/>
        <v>43836</v>
      </c>
      <c r="L34" s="71"/>
      <c r="O34" s="122">
        <v>14</v>
      </c>
      <c r="P34" s="122" t="str">
        <f t="shared" ca="1" si="32"/>
        <v>Christiansfelt</v>
      </c>
      <c r="Q34" s="122" t="str">
        <f t="shared" ca="1" si="33"/>
        <v>Fjerritslev</v>
      </c>
      <c r="R34" s="134">
        <v>43836</v>
      </c>
      <c r="S34" s="123" t="str">
        <f>IFERROR(S33+mMin,"-")</f>
        <v>-</v>
      </c>
      <c r="T34" s="146">
        <v>2</v>
      </c>
      <c r="U34" s="147">
        <v>2</v>
      </c>
      <c r="V34" s="148">
        <v>5</v>
      </c>
      <c r="W34" s="121">
        <f t="shared" si="34"/>
        <v>0</v>
      </c>
      <c r="X34" s="121">
        <f t="shared" si="35"/>
        <v>3</v>
      </c>
    </row>
    <row r="35" spans="1:24" ht="18" thickBot="1" x14ac:dyDescent="0.4">
      <c r="A35" s="13"/>
      <c r="B35" s="14"/>
      <c r="C35" s="67" t="s">
        <v>85</v>
      </c>
      <c r="D35" s="66">
        <f t="shared" si="36"/>
        <v>0</v>
      </c>
      <c r="E35" s="67">
        <v>15</v>
      </c>
      <c r="F35" s="68">
        <f t="shared" si="28"/>
        <v>6</v>
      </c>
      <c r="G35" s="68">
        <f t="shared" si="29"/>
        <v>5</v>
      </c>
      <c r="H35" s="69" t="str">
        <f t="shared" si="30"/>
        <v>T_04</v>
      </c>
      <c r="I35" s="69" t="str">
        <f t="shared" si="31"/>
        <v>T_05</v>
      </c>
      <c r="J35" s="69">
        <v>4</v>
      </c>
      <c r="K35" s="70">
        <f t="shared" si="37"/>
        <v>43836</v>
      </c>
      <c r="L35" s="71"/>
      <c r="O35" s="167">
        <v>15</v>
      </c>
      <c r="P35" s="167" t="str">
        <f t="shared" ca="1" si="32"/>
        <v>Dragør</v>
      </c>
      <c r="Q35" s="167" t="str">
        <f t="shared" ca="1" si="33"/>
        <v>Ejby</v>
      </c>
      <c r="R35" s="168">
        <v>43836</v>
      </c>
      <c r="S35" s="169" t="str">
        <f>IFERROR(S34+mMin,"-")</f>
        <v>-</v>
      </c>
      <c r="T35" s="170">
        <v>1</v>
      </c>
      <c r="U35" s="171">
        <v>1</v>
      </c>
      <c r="V35" s="172">
        <v>5</v>
      </c>
      <c r="W35" s="173">
        <f t="shared" si="34"/>
        <v>0</v>
      </c>
      <c r="X35" s="173">
        <f t="shared" si="35"/>
        <v>3</v>
      </c>
    </row>
    <row r="36" spans="1:24" ht="17.399999999999999" x14ac:dyDescent="0.35">
      <c r="A36" s="13"/>
      <c r="B36" s="14"/>
      <c r="C36" s="63" t="s">
        <v>141</v>
      </c>
      <c r="D36" s="62">
        <f t="shared" si="36"/>
        <v>0</v>
      </c>
      <c r="E36" s="63">
        <v>16</v>
      </c>
      <c r="F36" s="51">
        <f t="shared" si="28"/>
        <v>2</v>
      </c>
      <c r="G36" s="51">
        <f t="shared" si="29"/>
        <v>7</v>
      </c>
      <c r="H36" s="64" t="str">
        <f t="shared" si="30"/>
        <v>T_06</v>
      </c>
      <c r="I36" s="64" t="str">
        <f t="shared" si="31"/>
        <v>T_01</v>
      </c>
      <c r="J36" s="64">
        <v>5</v>
      </c>
      <c r="K36" s="65">
        <f t="shared" si="37"/>
        <v>43837</v>
      </c>
      <c r="L36" s="71"/>
      <c r="O36" s="160">
        <v>16</v>
      </c>
      <c r="P36" s="160" t="str">
        <f t="shared" ca="1" si="32"/>
        <v>Fjerritslev</v>
      </c>
      <c r="Q36" s="160" t="str">
        <f t="shared" ca="1" si="33"/>
        <v>Assens</v>
      </c>
      <c r="R36" s="161">
        <v>43837</v>
      </c>
      <c r="S36" s="162" t="s">
        <v>33</v>
      </c>
      <c r="T36" s="163">
        <v>1</v>
      </c>
      <c r="U36" s="164">
        <v>4</v>
      </c>
      <c r="V36" s="165">
        <v>2</v>
      </c>
      <c r="W36" s="166">
        <f t="shared" si="34"/>
        <v>3</v>
      </c>
      <c r="X36" s="166">
        <f t="shared" si="35"/>
        <v>0</v>
      </c>
    </row>
    <row r="37" spans="1:24" ht="17.399999999999999" x14ac:dyDescent="0.35">
      <c r="A37" s="13"/>
      <c r="B37" s="14"/>
      <c r="C37" s="56" t="s">
        <v>134</v>
      </c>
      <c r="D37" s="57">
        <f t="shared" si="36"/>
        <v>0</v>
      </c>
      <c r="E37" s="56">
        <v>17</v>
      </c>
      <c r="F37" s="58">
        <f t="shared" si="28"/>
        <v>3</v>
      </c>
      <c r="G37" s="58">
        <f t="shared" si="29"/>
        <v>6</v>
      </c>
      <c r="H37" s="59" t="str">
        <f t="shared" si="30"/>
        <v>T_05</v>
      </c>
      <c r="I37" s="59" t="str">
        <f t="shared" si="31"/>
        <v>T_02</v>
      </c>
      <c r="J37" s="59">
        <v>5</v>
      </c>
      <c r="K37" s="60">
        <f t="shared" si="37"/>
        <v>43837</v>
      </c>
      <c r="L37" s="71"/>
      <c r="O37" s="122">
        <v>17</v>
      </c>
      <c r="P37" s="122" t="str">
        <f t="shared" ca="1" si="32"/>
        <v>Ejby</v>
      </c>
      <c r="Q37" s="122" t="str">
        <f t="shared" ca="1" si="33"/>
        <v>Bogense</v>
      </c>
      <c r="R37" s="134">
        <v>43837</v>
      </c>
      <c r="S37" s="123" t="str">
        <f>IFERROR(S36+mMin,"-")</f>
        <v>-</v>
      </c>
      <c r="T37" s="146">
        <v>2</v>
      </c>
      <c r="U37" s="147">
        <v>2</v>
      </c>
      <c r="V37" s="148">
        <v>1</v>
      </c>
      <c r="W37" s="121">
        <f t="shared" si="34"/>
        <v>3</v>
      </c>
      <c r="X37" s="121">
        <f t="shared" si="35"/>
        <v>0</v>
      </c>
    </row>
    <row r="38" spans="1:24" ht="18" thickBot="1" x14ac:dyDescent="0.4">
      <c r="A38" s="13"/>
      <c r="B38" s="14"/>
      <c r="C38" s="67" t="s">
        <v>135</v>
      </c>
      <c r="D38" s="66">
        <f t="shared" si="36"/>
        <v>0</v>
      </c>
      <c r="E38" s="67">
        <v>18</v>
      </c>
      <c r="F38" s="68">
        <f t="shared" si="28"/>
        <v>4</v>
      </c>
      <c r="G38" s="68">
        <f t="shared" si="29"/>
        <v>5</v>
      </c>
      <c r="H38" s="69" t="str">
        <f t="shared" si="30"/>
        <v>T_04</v>
      </c>
      <c r="I38" s="69" t="str">
        <f t="shared" si="31"/>
        <v>T_03</v>
      </c>
      <c r="J38" s="69">
        <v>5</v>
      </c>
      <c r="K38" s="70">
        <f t="shared" si="37"/>
        <v>43837</v>
      </c>
      <c r="L38" s="71"/>
      <c r="O38" s="124">
        <v>18</v>
      </c>
      <c r="P38" s="124" t="str">
        <f t="shared" ca="1" si="32"/>
        <v>Dragør</v>
      </c>
      <c r="Q38" s="124" t="str">
        <f t="shared" ca="1" si="33"/>
        <v>Christiansfelt</v>
      </c>
      <c r="R38" s="135">
        <v>43837</v>
      </c>
      <c r="S38" s="125" t="str">
        <f>IFERROR(S37+mMin,"-")</f>
        <v>-</v>
      </c>
      <c r="T38" s="149">
        <v>1</v>
      </c>
      <c r="U38" s="150">
        <v>2</v>
      </c>
      <c r="V38" s="151">
        <v>4</v>
      </c>
      <c r="W38" s="126">
        <f t="shared" si="34"/>
        <v>0</v>
      </c>
      <c r="X38" s="126">
        <f t="shared" si="35"/>
        <v>3</v>
      </c>
    </row>
    <row r="39" spans="1:24" ht="17.399999999999999" x14ac:dyDescent="0.35">
      <c r="A39" s="13"/>
      <c r="B39" s="14"/>
      <c r="C39" s="63" t="s">
        <v>146</v>
      </c>
      <c r="D39" s="62">
        <f t="shared" si="36"/>
        <v>0</v>
      </c>
      <c r="E39" s="63">
        <v>19</v>
      </c>
      <c r="F39" s="51">
        <f t="shared" si="28"/>
        <v>6</v>
      </c>
      <c r="G39" s="51">
        <f t="shared" si="29"/>
        <v>2</v>
      </c>
      <c r="H39" s="64" t="str">
        <f t="shared" si="30"/>
        <v>T_01</v>
      </c>
      <c r="I39" s="64" t="str">
        <f t="shared" si="31"/>
        <v>T_05</v>
      </c>
      <c r="J39" s="64">
        <v>6</v>
      </c>
      <c r="K39" s="65">
        <f t="shared" si="37"/>
        <v>43838</v>
      </c>
      <c r="L39" s="71"/>
      <c r="O39" s="160">
        <v>19</v>
      </c>
      <c r="P39" s="160" t="str">
        <f t="shared" ca="1" si="32"/>
        <v>Assens</v>
      </c>
      <c r="Q39" s="160" t="str">
        <f t="shared" ca="1" si="33"/>
        <v>Ejby</v>
      </c>
      <c r="R39" s="161">
        <v>43838</v>
      </c>
      <c r="S39" s="162" t="s">
        <v>33</v>
      </c>
      <c r="T39" s="163">
        <v>2</v>
      </c>
      <c r="U39" s="164">
        <v>2</v>
      </c>
      <c r="V39" s="165">
        <v>5</v>
      </c>
      <c r="W39" s="166">
        <f t="shared" si="34"/>
        <v>0</v>
      </c>
      <c r="X39" s="166">
        <f t="shared" si="35"/>
        <v>3</v>
      </c>
    </row>
    <row r="40" spans="1:24" ht="17.399999999999999" x14ac:dyDescent="0.35">
      <c r="A40" s="13"/>
      <c r="B40" s="14"/>
      <c r="C40" s="56" t="s">
        <v>147</v>
      </c>
      <c r="D40" s="57">
        <f t="shared" si="36"/>
        <v>0</v>
      </c>
      <c r="E40" s="56">
        <v>20</v>
      </c>
      <c r="F40" s="58">
        <f t="shared" si="28"/>
        <v>7</v>
      </c>
      <c r="G40" s="58">
        <f t="shared" si="29"/>
        <v>5</v>
      </c>
      <c r="H40" s="59" t="str">
        <f t="shared" si="30"/>
        <v>T_04</v>
      </c>
      <c r="I40" s="59" t="str">
        <f t="shared" si="31"/>
        <v>T_06</v>
      </c>
      <c r="J40" s="59">
        <v>6</v>
      </c>
      <c r="K40" s="60">
        <f t="shared" si="37"/>
        <v>43838</v>
      </c>
      <c r="L40" s="71"/>
      <c r="O40" s="122">
        <v>20</v>
      </c>
      <c r="P40" s="122" t="str">
        <f t="shared" ca="1" si="32"/>
        <v>Dragør</v>
      </c>
      <c r="Q40" s="122" t="str">
        <f t="shared" ca="1" si="33"/>
        <v>Fjerritslev</v>
      </c>
      <c r="R40" s="134">
        <v>43838</v>
      </c>
      <c r="S40" s="123" t="str">
        <f>IFERROR(S39+mMin,"-")</f>
        <v>-</v>
      </c>
      <c r="T40" s="146">
        <v>1</v>
      </c>
      <c r="U40" s="147">
        <v>1</v>
      </c>
      <c r="V40" s="148">
        <v>5</v>
      </c>
      <c r="W40" s="121">
        <f t="shared" si="34"/>
        <v>0</v>
      </c>
      <c r="X40" s="121">
        <f t="shared" si="35"/>
        <v>3</v>
      </c>
    </row>
    <row r="41" spans="1:24" ht="18" thickBot="1" x14ac:dyDescent="0.4">
      <c r="B41" s="14"/>
      <c r="C41" s="67" t="s">
        <v>140</v>
      </c>
      <c r="D41" s="66">
        <f t="shared" si="36"/>
        <v>0</v>
      </c>
      <c r="E41" s="67">
        <v>21</v>
      </c>
      <c r="F41" s="68">
        <f t="shared" si="28"/>
        <v>3</v>
      </c>
      <c r="G41" s="68">
        <f t="shared" si="29"/>
        <v>4</v>
      </c>
      <c r="H41" s="69" t="str">
        <f t="shared" si="30"/>
        <v>T_03</v>
      </c>
      <c r="I41" s="69" t="str">
        <f t="shared" si="31"/>
        <v>T_02</v>
      </c>
      <c r="J41" s="69">
        <v>6</v>
      </c>
      <c r="K41" s="70">
        <f t="shared" si="37"/>
        <v>43838</v>
      </c>
      <c r="L41" s="71"/>
      <c r="O41" s="124">
        <v>21</v>
      </c>
      <c r="P41" s="124" t="str">
        <f t="shared" ca="1" si="32"/>
        <v>Christiansfelt</v>
      </c>
      <c r="Q41" s="124" t="str">
        <f t="shared" ca="1" si="33"/>
        <v>Bogense</v>
      </c>
      <c r="R41" s="135">
        <v>43838</v>
      </c>
      <c r="S41" s="125" t="str">
        <f>IFERROR(S40+mMin,"-")</f>
        <v>-</v>
      </c>
      <c r="T41" s="149">
        <v>1</v>
      </c>
      <c r="U41" s="150">
        <v>4</v>
      </c>
      <c r="V41" s="151">
        <v>2</v>
      </c>
      <c r="W41" s="126">
        <f t="shared" si="34"/>
        <v>3</v>
      </c>
      <c r="X41" s="126">
        <f t="shared" si="35"/>
        <v>0</v>
      </c>
    </row>
    <row r="42" spans="1:24" ht="17.399999999999999" x14ac:dyDescent="0.35">
      <c r="B42" s="14"/>
      <c r="C42" s="63" t="s">
        <v>151</v>
      </c>
      <c r="D42" s="62">
        <f t="shared" si="36"/>
        <v>0</v>
      </c>
      <c r="E42" s="63">
        <v>22</v>
      </c>
      <c r="F42" s="51">
        <f t="shared" si="28"/>
        <v>2</v>
      </c>
      <c r="G42" s="51">
        <f t="shared" si="29"/>
        <v>5</v>
      </c>
      <c r="H42" s="64" t="str">
        <f t="shared" si="30"/>
        <v>T_04</v>
      </c>
      <c r="I42" s="64" t="str">
        <f t="shared" si="31"/>
        <v>T_01</v>
      </c>
      <c r="J42" s="64">
        <v>7</v>
      </c>
      <c r="K42" s="65">
        <f t="shared" si="37"/>
        <v>43839</v>
      </c>
      <c r="L42" s="71"/>
      <c r="O42" s="122">
        <v>22</v>
      </c>
      <c r="P42" s="122" t="str">
        <f t="shared" ca="1" si="32"/>
        <v>Dragør</v>
      </c>
      <c r="Q42" s="122" t="str">
        <f t="shared" ca="1" si="33"/>
        <v>Assens</v>
      </c>
      <c r="R42" s="134">
        <v>43839</v>
      </c>
      <c r="S42" s="123" t="s">
        <v>33</v>
      </c>
      <c r="T42" s="146">
        <v>2</v>
      </c>
      <c r="U42" s="147">
        <v>2</v>
      </c>
      <c r="V42" s="148">
        <v>1</v>
      </c>
      <c r="W42" s="121">
        <f t="shared" si="34"/>
        <v>3</v>
      </c>
      <c r="X42" s="121">
        <f t="shared" si="35"/>
        <v>0</v>
      </c>
    </row>
    <row r="43" spans="1:24" ht="17.399999999999999" x14ac:dyDescent="0.35">
      <c r="B43" s="14"/>
      <c r="C43" s="56" t="s">
        <v>152</v>
      </c>
      <c r="D43" s="57">
        <f t="shared" si="36"/>
        <v>0</v>
      </c>
      <c r="E43" s="56">
        <v>23</v>
      </c>
      <c r="F43" s="58">
        <f t="shared" si="28"/>
        <v>6</v>
      </c>
      <c r="G43" s="58">
        <f t="shared" si="29"/>
        <v>4</v>
      </c>
      <c r="H43" s="59" t="str">
        <f t="shared" si="30"/>
        <v>T_03</v>
      </c>
      <c r="I43" s="59" t="str">
        <f t="shared" si="31"/>
        <v>T_05</v>
      </c>
      <c r="J43" s="59">
        <v>7</v>
      </c>
      <c r="K43" s="60">
        <f t="shared" si="37"/>
        <v>43839</v>
      </c>
      <c r="L43" s="71"/>
      <c r="O43" s="122">
        <v>23</v>
      </c>
      <c r="P43" s="122" t="str">
        <f t="shared" ca="1" si="32"/>
        <v>Christiansfelt</v>
      </c>
      <c r="Q43" s="122" t="str">
        <f t="shared" ca="1" si="33"/>
        <v>Ejby</v>
      </c>
      <c r="R43" s="134">
        <v>43839</v>
      </c>
      <c r="S43" s="123" t="str">
        <f>IFERROR(S42+mMin,"-")</f>
        <v>-</v>
      </c>
      <c r="T43" s="146">
        <v>1</v>
      </c>
      <c r="U43" s="147">
        <v>2</v>
      </c>
      <c r="V43" s="148">
        <v>4</v>
      </c>
      <c r="W43" s="121">
        <f t="shared" si="34"/>
        <v>0</v>
      </c>
      <c r="X43" s="121">
        <f t="shared" si="35"/>
        <v>3</v>
      </c>
    </row>
    <row r="44" spans="1:24" ht="18" thickBot="1" x14ac:dyDescent="0.4">
      <c r="B44" s="14"/>
      <c r="C44" s="67" t="s">
        <v>153</v>
      </c>
      <c r="D44" s="66">
        <f t="shared" si="36"/>
        <v>0</v>
      </c>
      <c r="E44" s="67">
        <v>24</v>
      </c>
      <c r="F44" s="68">
        <f t="shared" si="28"/>
        <v>7</v>
      </c>
      <c r="G44" s="68">
        <f t="shared" si="29"/>
        <v>3</v>
      </c>
      <c r="H44" s="69" t="str">
        <f t="shared" si="30"/>
        <v>T_02</v>
      </c>
      <c r="I44" s="69" t="str">
        <f t="shared" si="31"/>
        <v>T_06</v>
      </c>
      <c r="J44" s="69">
        <v>7</v>
      </c>
      <c r="K44" s="70">
        <f t="shared" si="37"/>
        <v>43839</v>
      </c>
      <c r="L44" s="71"/>
      <c r="O44" s="124">
        <v>24</v>
      </c>
      <c r="P44" s="124" t="str">
        <f t="shared" ca="1" si="32"/>
        <v>Bogense</v>
      </c>
      <c r="Q44" s="124" t="str">
        <f t="shared" ca="1" si="33"/>
        <v>Fjerritslev</v>
      </c>
      <c r="R44" s="135">
        <v>43839</v>
      </c>
      <c r="S44" s="125" t="str">
        <f>IFERROR(S43+mMin,"-")</f>
        <v>-</v>
      </c>
      <c r="T44" s="149">
        <v>2</v>
      </c>
      <c r="U44" s="150">
        <v>2</v>
      </c>
      <c r="V44" s="151">
        <v>5</v>
      </c>
      <c r="W44" s="126">
        <f t="shared" si="34"/>
        <v>0</v>
      </c>
      <c r="X44" s="126">
        <f t="shared" si="35"/>
        <v>3</v>
      </c>
    </row>
    <row r="45" spans="1:24" ht="17.399999999999999" x14ac:dyDescent="0.35">
      <c r="B45" s="14"/>
      <c r="C45" s="63" t="s">
        <v>156</v>
      </c>
      <c r="D45" s="62">
        <f t="shared" si="36"/>
        <v>0</v>
      </c>
      <c r="E45" s="63">
        <v>25</v>
      </c>
      <c r="F45" s="51">
        <f t="shared" si="28"/>
        <v>4</v>
      </c>
      <c r="G45" s="51">
        <f t="shared" si="29"/>
        <v>2</v>
      </c>
      <c r="H45" s="64" t="str">
        <f t="shared" si="30"/>
        <v>T_01</v>
      </c>
      <c r="I45" s="64" t="str">
        <f t="shared" si="31"/>
        <v>T_03</v>
      </c>
      <c r="J45" s="64">
        <v>8</v>
      </c>
      <c r="K45" s="65">
        <f t="shared" si="37"/>
        <v>43840</v>
      </c>
      <c r="L45" s="71"/>
      <c r="O45" s="122">
        <v>25</v>
      </c>
      <c r="P45" s="122" t="str">
        <f t="shared" ca="1" si="32"/>
        <v>Assens</v>
      </c>
      <c r="Q45" s="122" t="str">
        <f t="shared" ca="1" si="33"/>
        <v>Christiansfelt</v>
      </c>
      <c r="R45" s="134">
        <v>43840</v>
      </c>
      <c r="S45" s="123" t="s">
        <v>33</v>
      </c>
      <c r="T45" s="146">
        <v>1</v>
      </c>
      <c r="U45" s="147">
        <v>1</v>
      </c>
      <c r="V45" s="148">
        <v>5</v>
      </c>
      <c r="W45" s="121">
        <f t="shared" si="34"/>
        <v>0</v>
      </c>
      <c r="X45" s="121">
        <f t="shared" si="35"/>
        <v>3</v>
      </c>
    </row>
    <row r="46" spans="1:24" ht="17.399999999999999" x14ac:dyDescent="0.35">
      <c r="B46" s="14"/>
      <c r="C46" s="56" t="s">
        <v>157</v>
      </c>
      <c r="D46" s="57">
        <f t="shared" si="36"/>
        <v>0</v>
      </c>
      <c r="E46" s="56">
        <v>26</v>
      </c>
      <c r="F46" s="58">
        <f t="shared" si="28"/>
        <v>5</v>
      </c>
      <c r="G46" s="58">
        <f t="shared" si="29"/>
        <v>3</v>
      </c>
      <c r="H46" s="59" t="str">
        <f t="shared" si="30"/>
        <v>T_02</v>
      </c>
      <c r="I46" s="59" t="str">
        <f t="shared" si="31"/>
        <v>T_04</v>
      </c>
      <c r="J46" s="59">
        <v>8</v>
      </c>
      <c r="K46" s="60">
        <f t="shared" si="37"/>
        <v>43840</v>
      </c>
      <c r="L46" s="71"/>
      <c r="O46" s="122">
        <v>26</v>
      </c>
      <c r="P46" s="122" t="str">
        <f t="shared" ca="1" si="32"/>
        <v>Bogense</v>
      </c>
      <c r="Q46" s="122" t="str">
        <f t="shared" ca="1" si="33"/>
        <v>Dragør</v>
      </c>
      <c r="R46" s="134">
        <v>43840</v>
      </c>
      <c r="S46" s="123" t="str">
        <f>IFERROR(S45+mMin,"-")</f>
        <v>-</v>
      </c>
      <c r="T46" s="146">
        <v>2</v>
      </c>
      <c r="U46" s="147">
        <v>4</v>
      </c>
      <c r="V46" s="148">
        <v>5</v>
      </c>
      <c r="W46" s="121">
        <f t="shared" si="34"/>
        <v>0</v>
      </c>
      <c r="X46" s="121">
        <f t="shared" si="35"/>
        <v>3</v>
      </c>
    </row>
    <row r="47" spans="1:24" ht="18" thickBot="1" x14ac:dyDescent="0.4">
      <c r="B47" s="14"/>
      <c r="C47" s="67" t="s">
        <v>125</v>
      </c>
      <c r="D47" s="66">
        <f t="shared" si="36"/>
        <v>0</v>
      </c>
      <c r="E47" s="67">
        <v>27</v>
      </c>
      <c r="F47" s="68">
        <f t="shared" si="28"/>
        <v>6</v>
      </c>
      <c r="G47" s="68">
        <f t="shared" si="29"/>
        <v>7</v>
      </c>
      <c r="H47" s="69" t="str">
        <f t="shared" si="30"/>
        <v>T_06</v>
      </c>
      <c r="I47" s="69" t="str">
        <f t="shared" si="31"/>
        <v>T_05</v>
      </c>
      <c r="J47" s="69">
        <v>8</v>
      </c>
      <c r="K47" s="70">
        <f t="shared" si="37"/>
        <v>43840</v>
      </c>
      <c r="L47" s="71"/>
      <c r="O47" s="124">
        <v>27</v>
      </c>
      <c r="P47" s="124" t="str">
        <f t="shared" ca="1" si="32"/>
        <v>Fjerritslev</v>
      </c>
      <c r="Q47" s="124" t="str">
        <f t="shared" ca="1" si="33"/>
        <v>Ejby</v>
      </c>
      <c r="R47" s="135">
        <v>43840</v>
      </c>
      <c r="S47" s="125" t="str">
        <f>IFERROR(S46+mMin,"-")</f>
        <v>-</v>
      </c>
      <c r="T47" s="149">
        <v>1</v>
      </c>
      <c r="U47" s="150">
        <v>4</v>
      </c>
      <c r="V47" s="151">
        <v>2</v>
      </c>
      <c r="W47" s="126">
        <f t="shared" si="34"/>
        <v>3</v>
      </c>
      <c r="X47" s="126">
        <f t="shared" si="35"/>
        <v>0</v>
      </c>
    </row>
    <row r="48" spans="1:24" ht="17.399999999999999" x14ac:dyDescent="0.35">
      <c r="B48" s="14"/>
      <c r="C48" s="63" t="s">
        <v>161</v>
      </c>
      <c r="D48" s="62">
        <f t="shared" si="36"/>
        <v>0</v>
      </c>
      <c r="E48" s="63">
        <v>28</v>
      </c>
      <c r="F48" s="51">
        <f t="shared" si="28"/>
        <v>2</v>
      </c>
      <c r="G48" s="51">
        <f t="shared" si="29"/>
        <v>3</v>
      </c>
      <c r="H48" s="64" t="str">
        <f t="shared" si="30"/>
        <v>T_02</v>
      </c>
      <c r="I48" s="64" t="str">
        <f t="shared" si="31"/>
        <v>T_01</v>
      </c>
      <c r="J48" s="64">
        <v>9</v>
      </c>
      <c r="K48" s="65">
        <f t="shared" si="37"/>
        <v>43841</v>
      </c>
      <c r="L48" s="71"/>
      <c r="O48" s="122">
        <v>28</v>
      </c>
      <c r="P48" s="122" t="str">
        <f t="shared" ca="1" si="32"/>
        <v>Bogense</v>
      </c>
      <c r="Q48" s="122" t="str">
        <f t="shared" ca="1" si="33"/>
        <v>Assens</v>
      </c>
      <c r="R48" s="134">
        <v>43841</v>
      </c>
      <c r="S48" s="123" t="s">
        <v>33</v>
      </c>
      <c r="T48" s="146">
        <v>2</v>
      </c>
      <c r="U48" s="147">
        <v>3</v>
      </c>
      <c r="V48" s="148">
        <v>3</v>
      </c>
      <c r="W48" s="121">
        <f t="shared" si="34"/>
        <v>1</v>
      </c>
      <c r="X48" s="121">
        <f t="shared" si="35"/>
        <v>1</v>
      </c>
    </row>
    <row r="49" spans="2:24" ht="17.399999999999999" x14ac:dyDescent="0.35">
      <c r="B49" s="14"/>
      <c r="C49" s="56" t="s">
        <v>129</v>
      </c>
      <c r="D49" s="57">
        <f t="shared" si="36"/>
        <v>0</v>
      </c>
      <c r="E49" s="56">
        <v>29</v>
      </c>
      <c r="F49" s="58">
        <f t="shared" si="28"/>
        <v>4</v>
      </c>
      <c r="G49" s="58">
        <f t="shared" si="29"/>
        <v>7</v>
      </c>
      <c r="H49" s="59" t="str">
        <f t="shared" si="30"/>
        <v>T_06</v>
      </c>
      <c r="I49" s="59" t="str">
        <f t="shared" si="31"/>
        <v>T_03</v>
      </c>
      <c r="J49" s="59">
        <v>9</v>
      </c>
      <c r="K49" s="60">
        <f t="shared" si="37"/>
        <v>43841</v>
      </c>
      <c r="L49" s="71"/>
      <c r="O49" s="122">
        <v>29</v>
      </c>
      <c r="P49" s="122" t="str">
        <f t="shared" ca="1" si="32"/>
        <v>Fjerritslev</v>
      </c>
      <c r="Q49" s="122" t="str">
        <f t="shared" ca="1" si="33"/>
        <v>Christiansfelt</v>
      </c>
      <c r="R49" s="134">
        <v>43841</v>
      </c>
      <c r="S49" s="123" t="str">
        <f>IFERROR(S48+mMin,"-")</f>
        <v>-</v>
      </c>
      <c r="T49" s="146">
        <v>1</v>
      </c>
      <c r="U49" s="147">
        <v>3</v>
      </c>
      <c r="V49" s="148">
        <v>0</v>
      </c>
      <c r="W49" s="121">
        <f t="shared" si="34"/>
        <v>3</v>
      </c>
      <c r="X49" s="121">
        <f t="shared" si="35"/>
        <v>0</v>
      </c>
    </row>
    <row r="50" spans="2:24" ht="18" thickBot="1" x14ac:dyDescent="0.4">
      <c r="B50" s="14"/>
      <c r="C50" s="67" t="s">
        <v>130</v>
      </c>
      <c r="D50" s="66">
        <f t="shared" si="36"/>
        <v>0</v>
      </c>
      <c r="E50" s="67">
        <v>30</v>
      </c>
      <c r="F50" s="68">
        <f t="shared" si="28"/>
        <v>5</v>
      </c>
      <c r="G50" s="68">
        <f t="shared" si="29"/>
        <v>6</v>
      </c>
      <c r="H50" s="69" t="str">
        <f t="shared" si="30"/>
        <v>T_05</v>
      </c>
      <c r="I50" s="69" t="str">
        <f t="shared" si="31"/>
        <v>T_04</v>
      </c>
      <c r="J50" s="69">
        <v>9</v>
      </c>
      <c r="K50" s="70">
        <f t="shared" si="37"/>
        <v>43841</v>
      </c>
      <c r="L50" s="71"/>
      <c r="O50" s="124">
        <v>30</v>
      </c>
      <c r="P50" s="124" t="str">
        <f t="shared" ca="1" si="32"/>
        <v>Ejby</v>
      </c>
      <c r="Q50" s="124" t="str">
        <f t="shared" ca="1" si="33"/>
        <v>Dragør</v>
      </c>
      <c r="R50" s="135">
        <v>43841</v>
      </c>
      <c r="S50" s="125" t="str">
        <f>IFERROR(S49+mMin,"-")</f>
        <v>-</v>
      </c>
      <c r="T50" s="149">
        <v>2</v>
      </c>
      <c r="U50" s="150">
        <v>0</v>
      </c>
      <c r="V50" s="151">
        <v>2</v>
      </c>
      <c r="W50" s="126">
        <f t="shared" si="34"/>
        <v>0</v>
      </c>
      <c r="X50" s="126">
        <f t="shared" si="35"/>
        <v>3</v>
      </c>
    </row>
    <row r="51" spans="2:24" ht="18" thickBot="1" x14ac:dyDescent="0.4">
      <c r="H51" s="19" t="s">
        <v>34</v>
      </c>
      <c r="I51" s="19" t="s">
        <v>35</v>
      </c>
      <c r="J51" s="15"/>
      <c r="K51" s="17"/>
      <c r="L51" s="71"/>
      <c r="P51" s="92"/>
      <c r="Q51" s="92"/>
      <c r="R51" s="92"/>
      <c r="S51" s="5"/>
      <c r="T51" s="5"/>
      <c r="U51" s="18"/>
      <c r="V51" s="40"/>
    </row>
    <row r="52" spans="2:24" ht="18" thickBot="1" x14ac:dyDescent="0.4">
      <c r="H52" s="20" t="str">
        <f>IF(ISNUMBER(U52),IF(U52&gt;V52,P52,Q52),"")</f>
        <v/>
      </c>
      <c r="I52" s="20" t="str">
        <f>IF(ISNUMBER(U52),IF(H52=P52,Q52,P52),"")</f>
        <v/>
      </c>
      <c r="J52" s="15">
        <v>10</v>
      </c>
      <c r="K52" s="17">
        <f t="shared" si="37"/>
        <v>43842</v>
      </c>
      <c r="L52" s="71"/>
      <c r="O52" s="89" t="s">
        <v>64</v>
      </c>
      <c r="P52" s="90"/>
      <c r="Q52" s="90"/>
      <c r="R52" s="174">
        <v>41660</v>
      </c>
      <c r="S52" s="175">
        <v>0.54166666666666663</v>
      </c>
      <c r="T52" s="176">
        <v>2</v>
      </c>
      <c r="U52" s="177"/>
      <c r="V52" s="178"/>
      <c r="W52" s="21" t="str">
        <f t="shared" ref="W52" si="38">IF(ISNUMBER(U52)*ISNUMBER(V52),IF(U52&gt;V52,ptv, IF(U52=V52,ptu,ptt)),"-")</f>
        <v>-</v>
      </c>
      <c r="X52" s="21" t="str">
        <f t="shared" ref="X52" si="39">IF(ISNUMBER(U52)*ISNUMBER(V52),IF(W52=ptv,ptt,IF(W52=ptu,ptu,ptv)),"-")</f>
        <v>-</v>
      </c>
    </row>
    <row r="53" spans="2:24" ht="15" thickBot="1" x14ac:dyDescent="0.25">
      <c r="H53" s="19" t="s">
        <v>36</v>
      </c>
      <c r="I53" s="19" t="s">
        <v>37</v>
      </c>
      <c r="J53" s="15"/>
      <c r="K53" s="17"/>
      <c r="L53" s="71"/>
      <c r="P53" s="92"/>
      <c r="Q53" s="92"/>
      <c r="R53" s="92"/>
      <c r="S53" s="5"/>
      <c r="T53" s="5"/>
      <c r="U53" s="5"/>
      <c r="V53" s="94"/>
    </row>
    <row r="54" spans="2:24" ht="18" thickBot="1" x14ac:dyDescent="0.4">
      <c r="H54" s="20" t="str">
        <f>IF(ISNUMBER(U54),IF(U54&gt;V54,P54,Q54),"")</f>
        <v/>
      </c>
      <c r="I54" s="20" t="str">
        <f>IF(ISNUMBER(U54),IF(H54=P54,Q54,P54),"")</f>
        <v/>
      </c>
      <c r="J54" s="15">
        <v>11</v>
      </c>
      <c r="K54" s="17">
        <f t="shared" si="37"/>
        <v>43843</v>
      </c>
      <c r="L54" s="71"/>
      <c r="O54" s="88" t="s">
        <v>175</v>
      </c>
      <c r="P54" s="90"/>
      <c r="Q54" s="90"/>
      <c r="R54" s="174">
        <v>41661</v>
      </c>
      <c r="S54" s="175">
        <v>0.54166666666666663</v>
      </c>
      <c r="T54" s="176">
        <v>2</v>
      </c>
      <c r="U54" s="177"/>
      <c r="V54" s="178"/>
      <c r="W54" s="21" t="str">
        <f t="shared" ref="W54" si="40">IF(ISNUMBER(U54)*ISNUMBER(V54),IF(U54&gt;V54,ptv, IF(U54=V54,ptu,ptt)),"-")</f>
        <v>-</v>
      </c>
      <c r="X54" s="21" t="str">
        <f t="shared" ref="X54" si="41">IF(ISNUMBER(U54)*ISNUMBER(V54),IF(W54=ptv,ptt,IF(W54=ptu,ptu,ptv)),"-")</f>
        <v>-</v>
      </c>
    </row>
    <row r="55" spans="2:24" ht="14.4" x14ac:dyDescent="0.2">
      <c r="L55" s="71"/>
    </row>
  </sheetData>
  <sheetProtection sheet="1" objects="1" scenarios="1"/>
  <conditionalFormatting sqref="D22:D23">
    <cfRule type="expression" dxfId="56" priority="5">
      <formula>D22=1</formula>
    </cfRule>
  </conditionalFormatting>
  <conditionalFormatting sqref="D24:D50">
    <cfRule type="expression" dxfId="55" priority="4">
      <formula>D24=1</formula>
    </cfRule>
  </conditionalFormatting>
  <conditionalFormatting sqref="B13:G18">
    <cfRule type="duplicateValues" dxfId="54" priority="6"/>
    <cfRule type="expression" dxfId="53" priority="7">
      <formula>AND(B13&lt;=$E$10,ISNUMBER(B13))</formula>
    </cfRule>
  </conditionalFormatting>
  <conditionalFormatting sqref="L3:L8">
    <cfRule type="duplicateValues" dxfId="52" priority="2"/>
  </conditionalFormatting>
  <conditionalFormatting sqref="M3:M8">
    <cfRule type="duplicateValues" dxfId="51" priority="1"/>
  </conditionalFormatting>
  <dataValidations disablePrompts="1" count="1">
    <dataValidation type="list" allowBlank="1" showInputMessage="1" showErrorMessage="1" sqref="P52:Q52 P54:Q54" xr:uid="{00000000-0002-0000-0B00-000000000000}">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grp07x1">
    <tabColor theme="7"/>
    <outlinePr showOutlineSymbols="0"/>
    <pageSetUpPr fitToPage="1"/>
  </sheetPr>
  <dimension ref="A1:X47"/>
  <sheetViews>
    <sheetView showGridLines="0" showRowColHeaders="0" showOutlineSymbols="0" zoomScaleNormal="100" zoomScaleSheetLayoutView="85" workbookViewId="0">
      <pane ySplit="22" topLeftCell="A23" activePane="bottomLeft" state="frozen"/>
      <selection activeCell="L43" sqref="L43"/>
      <selection pane="bottomLeft" activeCell="N23" sqref="N23"/>
    </sheetView>
  </sheetViews>
  <sheetFormatPr defaultColWidth="9" defaultRowHeight="12.6" outlineLevelRow="1" outlineLevelCol="1" x14ac:dyDescent="0.2"/>
  <cols>
    <col min="1" max="1" width="10.7265625" hidden="1" customWidth="1" outlineLevel="1"/>
    <col min="2" max="2" width="0" hidden="1" customWidth="1" outlineLevel="1"/>
    <col min="3" max="3" width="10.26953125" hidden="1" customWidth="1" outlineLevel="1"/>
    <col min="4" max="8" width="0" hidden="1" customWidth="1" outlineLevel="1"/>
    <col min="9" max="10" width="5.6328125" hidden="1" customWidth="1" outlineLevel="1"/>
    <col min="11" max="11" width="9.26953125" hidden="1" customWidth="1" outlineLevel="1"/>
    <col min="12" max="12" width="4.6328125" hidden="1" customWidth="1" outlineLevel="1"/>
    <col min="13" max="13" width="3.6328125" hidden="1" customWidth="1" outlineLevel="1"/>
    <col min="14" max="14" width="3.6328125" customWidth="1" collapsed="1"/>
    <col min="15" max="15" width="6" style="13" customWidth="1"/>
    <col min="16" max="17" width="20.453125" style="13" customWidth="1"/>
    <col min="18" max="18" width="9.6328125" style="13" customWidth="1"/>
    <col min="19" max="19" width="8.6328125" customWidth="1"/>
    <col min="20" max="20" width="8.453125" customWidth="1"/>
    <col min="21" max="24" width="6.26953125" customWidth="1"/>
    <col min="26" max="26" width="10.7265625" bestFit="1"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9" si="0">INDEX(xTeams,A3,1)</f>
        <v>Assens</v>
      </c>
      <c r="C3" s="96">
        <f t="shared" ref="C3" ca="1" si="1">SUMIF(team1,teams,goals1)+SUMIF(team2,teams,goals2)</f>
        <v>0</v>
      </c>
      <c r="D3" s="96">
        <f t="shared" ref="D3" ca="1" si="2">SUMIF(team1,teams,goals2)+SUMIF(team2,teams,goals1)</f>
        <v>0</v>
      </c>
      <c r="E3" s="104">
        <f t="shared" ref="E3:E9" ca="1" si="3">SUMIFS(
   points1,team1,teams
) +
  SUMIFS(points2,team2,teams)</f>
        <v>0</v>
      </c>
      <c r="F3" s="96">
        <f t="shared" ref="F3:F9" ca="1" si="4">C3-D3</f>
        <v>0</v>
      </c>
      <c r="G3" s="96">
        <f t="shared" ref="G3:G9" ca="1" si="5">COUNTIFS(team1,$B3,points1,"&gt;=0")+COUNTIFS(team2,$B3,points2,"&gt;=0")</f>
        <v>0</v>
      </c>
      <c r="H3" s="105">
        <f ca="1">IF(G3=0,1,0)</f>
        <v>1</v>
      </c>
      <c r="I3" s="105">
        <f ca="1">RANK($E3,$E$3:$E$9,0)</f>
        <v>1</v>
      </c>
      <c r="J3" s="98">
        <f ca="1">RANK($F3,$F$3:$F$9,0)/10</f>
        <v>0.1</v>
      </c>
      <c r="K3" s="99">
        <f ca="1">RANK($C3,$C$3:$C$9,0)/100</f>
        <v>0.01</v>
      </c>
      <c r="L3" s="99">
        <f ca="1">SUM(H3:K3)</f>
        <v>2.11</v>
      </c>
      <c r="M3" s="96">
        <f ca="1">RANK($L3,$L$3:$L$9,1) + COUNTIF($L$3:$L3,$L3)-1</f>
        <v>1</v>
      </c>
    </row>
    <row r="4" spans="1:24" hidden="1" outlineLevel="1" x14ac:dyDescent="0.2">
      <c r="A4" s="103">
        <v>2</v>
      </c>
      <c r="B4" s="103" t="str">
        <f t="shared" si="0"/>
        <v>Bogense</v>
      </c>
      <c r="C4" s="96">
        <f t="shared" ref="C4:C9" ca="1" si="6">SUMIF(team1,teams,goals1)+SUMIF(team2,teams,goals2)</f>
        <v>0</v>
      </c>
      <c r="D4" s="96">
        <f t="shared" ref="D4:D9" ca="1" si="7">SUMIF(team1,teams,goals2)+SUMIF(team2,teams,goals1)</f>
        <v>0</v>
      </c>
      <c r="E4" s="104">
        <f t="shared" ca="1" si="3"/>
        <v>0</v>
      </c>
      <c r="F4" s="96">
        <f t="shared" ca="1" si="4"/>
        <v>0</v>
      </c>
      <c r="G4" s="96">
        <f t="shared" ca="1" si="5"/>
        <v>0</v>
      </c>
      <c r="H4" s="105">
        <f t="shared" ref="H4:H9" ca="1" si="8">IF(G4=0,1,0)</f>
        <v>1</v>
      </c>
      <c r="I4" s="105">
        <f t="shared" ref="I4:I9" ca="1" si="9">RANK($E4,$E$3:$E$12,0)</f>
        <v>2</v>
      </c>
      <c r="J4" s="98">
        <f t="shared" ref="J4:J9" ca="1" si="10">RANK($F4,$F$3:$F$12,0)/10</f>
        <v>0.1</v>
      </c>
      <c r="K4" s="99">
        <f t="shared" ref="K4:K9" ca="1" si="11">RANK($C4,$C$3:$C$12,0)/100</f>
        <v>0.01</v>
      </c>
      <c r="L4" s="99">
        <f t="shared" ref="L4:L9" ca="1" si="12">SUM(H4:K4)</f>
        <v>3.11</v>
      </c>
      <c r="M4" s="96">
        <f ca="1">RANK($L4,$L$3:$L$9,1) + COUNTIF($L$3:$L4,$L4)-1</f>
        <v>2</v>
      </c>
    </row>
    <row r="5" spans="1:24" hidden="1" outlineLevel="1" x14ac:dyDescent="0.2">
      <c r="A5" s="103">
        <v>3</v>
      </c>
      <c r="B5" s="103" t="str">
        <f t="shared" si="0"/>
        <v>Christiansfelt</v>
      </c>
      <c r="C5" s="96">
        <f t="shared" ca="1" si="6"/>
        <v>0</v>
      </c>
      <c r="D5" s="96">
        <f t="shared" ca="1" si="7"/>
        <v>0</v>
      </c>
      <c r="E5" s="104">
        <f t="shared" ca="1" si="3"/>
        <v>0</v>
      </c>
      <c r="F5" s="96">
        <f t="shared" ca="1" si="4"/>
        <v>0</v>
      </c>
      <c r="G5" s="96">
        <f t="shared" ca="1" si="5"/>
        <v>0</v>
      </c>
      <c r="H5" s="105">
        <f t="shared" ca="1" si="8"/>
        <v>1</v>
      </c>
      <c r="I5" s="105">
        <f t="shared" ca="1" si="9"/>
        <v>2</v>
      </c>
      <c r="J5" s="98">
        <f t="shared" ca="1" si="10"/>
        <v>0.1</v>
      </c>
      <c r="K5" s="99">
        <f t="shared" ca="1" si="11"/>
        <v>0.01</v>
      </c>
      <c r="L5" s="99">
        <f t="shared" ca="1" si="12"/>
        <v>3.11</v>
      </c>
      <c r="M5" s="96">
        <f ca="1">RANK($L5,$L$3:$L$9,1) + COUNTIF($L$3:$L5,$L5)-1</f>
        <v>3</v>
      </c>
    </row>
    <row r="6" spans="1:24" hidden="1" outlineLevel="1" x14ac:dyDescent="0.2">
      <c r="A6" s="103">
        <v>4</v>
      </c>
      <c r="B6" s="103" t="str">
        <f t="shared" si="0"/>
        <v>Dragør</v>
      </c>
      <c r="C6" s="96">
        <f t="shared" ca="1" si="6"/>
        <v>0</v>
      </c>
      <c r="D6" s="96">
        <f t="shared" ca="1" si="7"/>
        <v>0</v>
      </c>
      <c r="E6" s="104">
        <f t="shared" ca="1" si="3"/>
        <v>0</v>
      </c>
      <c r="F6" s="96">
        <f t="shared" ca="1" si="4"/>
        <v>0</v>
      </c>
      <c r="G6" s="96">
        <f t="shared" ca="1" si="5"/>
        <v>0</v>
      </c>
      <c r="H6" s="105">
        <f t="shared" ca="1" si="8"/>
        <v>1</v>
      </c>
      <c r="I6" s="105">
        <f t="shared" ca="1" si="9"/>
        <v>2</v>
      </c>
      <c r="J6" s="98">
        <f t="shared" ca="1" si="10"/>
        <v>0.1</v>
      </c>
      <c r="K6" s="99">
        <f t="shared" ca="1" si="11"/>
        <v>0.01</v>
      </c>
      <c r="L6" s="99">
        <f t="shared" ca="1" si="12"/>
        <v>3.11</v>
      </c>
      <c r="M6" s="96">
        <f ca="1">RANK($L6,$L$3:$L$9,1) + COUNTIF($L$3:$L6,$L6)-1</f>
        <v>4</v>
      </c>
    </row>
    <row r="7" spans="1:24" hidden="1" outlineLevel="1" x14ac:dyDescent="0.2">
      <c r="A7" s="103">
        <v>5</v>
      </c>
      <c r="B7" s="103" t="str">
        <f t="shared" si="0"/>
        <v>Ejby</v>
      </c>
      <c r="C7" s="96">
        <f t="shared" ca="1" si="6"/>
        <v>0</v>
      </c>
      <c r="D7" s="96">
        <f t="shared" ca="1" si="7"/>
        <v>0</v>
      </c>
      <c r="E7" s="104">
        <f t="shared" ca="1" si="3"/>
        <v>0</v>
      </c>
      <c r="F7" s="96">
        <f t="shared" ca="1" si="4"/>
        <v>0</v>
      </c>
      <c r="G7" s="96">
        <f t="shared" ca="1" si="5"/>
        <v>0</v>
      </c>
      <c r="H7" s="105">
        <f t="shared" ca="1" si="8"/>
        <v>1</v>
      </c>
      <c r="I7" s="105">
        <f t="shared" ca="1" si="9"/>
        <v>2</v>
      </c>
      <c r="J7" s="98">
        <f t="shared" ca="1" si="10"/>
        <v>0.1</v>
      </c>
      <c r="K7" s="99">
        <f t="shared" ca="1" si="11"/>
        <v>0.01</v>
      </c>
      <c r="L7" s="99">
        <f t="shared" ca="1" si="12"/>
        <v>3.11</v>
      </c>
      <c r="M7" s="96">
        <f ca="1">RANK($L7,$L$3:$L$9,1) + COUNTIF($L$3:$L7,$L7)-1</f>
        <v>5</v>
      </c>
    </row>
    <row r="8" spans="1:24" hidden="1" outlineLevel="1" x14ac:dyDescent="0.2">
      <c r="A8" s="103">
        <v>6</v>
      </c>
      <c r="B8" s="103" t="str">
        <f t="shared" si="0"/>
        <v>Fjerritslev</v>
      </c>
      <c r="C8" s="96">
        <f t="shared" ca="1" si="6"/>
        <v>0</v>
      </c>
      <c r="D8" s="96">
        <f t="shared" ca="1" si="7"/>
        <v>0</v>
      </c>
      <c r="E8" s="104">
        <f t="shared" ca="1" si="3"/>
        <v>0</v>
      </c>
      <c r="F8" s="96">
        <f t="shared" ca="1" si="4"/>
        <v>0</v>
      </c>
      <c r="G8" s="96">
        <f t="shared" ca="1" si="5"/>
        <v>0</v>
      </c>
      <c r="H8" s="105">
        <f t="shared" ca="1" si="8"/>
        <v>1</v>
      </c>
      <c r="I8" s="105">
        <f t="shared" ca="1" si="9"/>
        <v>2</v>
      </c>
      <c r="J8" s="98">
        <f t="shared" ca="1" si="10"/>
        <v>0.1</v>
      </c>
      <c r="K8" s="99">
        <f t="shared" ca="1" si="11"/>
        <v>0.01</v>
      </c>
      <c r="L8" s="99">
        <f t="shared" ca="1" si="12"/>
        <v>3.11</v>
      </c>
      <c r="M8" s="96">
        <f ca="1">RANK($L8,$L$3:$L$9,1) + COUNTIF($L$3:$L8,$L8)-1</f>
        <v>6</v>
      </c>
    </row>
    <row r="9" spans="1:24" hidden="1" outlineLevel="1" x14ac:dyDescent="0.2">
      <c r="A9" s="103">
        <v>7</v>
      </c>
      <c r="B9" s="103" t="str">
        <f t="shared" si="0"/>
        <v>Glamsbjerg</v>
      </c>
      <c r="C9" s="96">
        <f t="shared" ca="1" si="6"/>
        <v>0</v>
      </c>
      <c r="D9" s="96">
        <f t="shared" ca="1" si="7"/>
        <v>0</v>
      </c>
      <c r="E9" s="104">
        <f t="shared" ca="1" si="3"/>
        <v>0</v>
      </c>
      <c r="F9" s="96">
        <f t="shared" ca="1" si="4"/>
        <v>0</v>
      </c>
      <c r="G9" s="96">
        <f t="shared" ca="1" si="5"/>
        <v>0</v>
      </c>
      <c r="H9" s="105">
        <f t="shared" ca="1" si="8"/>
        <v>1</v>
      </c>
      <c r="I9" s="105">
        <f t="shared" ca="1" si="9"/>
        <v>2</v>
      </c>
      <c r="J9" s="98">
        <f t="shared" ca="1" si="10"/>
        <v>0.1</v>
      </c>
      <c r="K9" s="99">
        <f t="shared" ca="1" si="11"/>
        <v>0.01</v>
      </c>
      <c r="L9" s="99">
        <f t="shared" ca="1" si="12"/>
        <v>3.11</v>
      </c>
      <c r="M9" s="96">
        <f ca="1">RANK($L9,$L$3:$L$9,1) + COUNTIF($L$3:$L9,$L9)-1</f>
        <v>7</v>
      </c>
    </row>
    <row r="10" spans="1:24" ht="13.2" collapsed="1" thickBot="1" x14ac:dyDescent="0.25">
      <c r="O10"/>
      <c r="P10"/>
      <c r="Q10"/>
      <c r="R10"/>
    </row>
    <row r="11" spans="1:24" s="4" customFormat="1" ht="24" thickBot="1" x14ac:dyDescent="0.5">
      <c r="A11" s="42" t="s">
        <v>168</v>
      </c>
      <c r="B11" s="97">
        <v>7</v>
      </c>
      <c r="C11" s="72"/>
      <c r="D11" s="73" t="s">
        <v>65</v>
      </c>
      <c r="E11" s="97">
        <f>(B11/2)*(B11-1)</f>
        <v>21</v>
      </c>
      <c r="F11"/>
      <c r="G11"/>
      <c r="H11"/>
      <c r="O11" s="75" t="str">
        <f>TurneringsNavn</f>
        <v>Forårsstævne</v>
      </c>
      <c r="P11" s="5"/>
      <c r="Q11" s="5"/>
      <c r="R11" s="5"/>
      <c r="S11" s="5"/>
      <c r="T11" s="5"/>
      <c r="U11" s="5"/>
      <c r="V11" s="5"/>
      <c r="W11" s="5"/>
      <c r="X11" s="5"/>
    </row>
    <row r="12" spans="1:24" ht="6.75" customHeight="1" x14ac:dyDescent="0.2">
      <c r="O12"/>
      <c r="P12"/>
      <c r="Q12"/>
      <c r="R12"/>
    </row>
    <row r="13" spans="1:24" ht="13.8" x14ac:dyDescent="0.25">
      <c r="A13" s="35" t="s">
        <v>200</v>
      </c>
      <c r="B13" s="35" t="s">
        <v>66</v>
      </c>
      <c r="C13" s="35" t="s">
        <v>67</v>
      </c>
      <c r="D13" s="35" t="s">
        <v>68</v>
      </c>
      <c r="E13" s="35" t="s">
        <v>69</v>
      </c>
      <c r="F13" s="35" t="s">
        <v>70</v>
      </c>
      <c r="G13" s="35" t="s">
        <v>71</v>
      </c>
      <c r="H13" s="35" t="s">
        <v>72</v>
      </c>
      <c r="I13" s="7" t="s">
        <v>2</v>
      </c>
      <c r="J13" s="6" t="s">
        <v>3</v>
      </c>
      <c r="K13" s="6" t="s">
        <v>4</v>
      </c>
      <c r="L13" s="6" t="s">
        <v>167</v>
      </c>
      <c r="M13" s="6"/>
      <c r="O13" s="128" t="s">
        <v>198</v>
      </c>
      <c r="P13" s="129" t="s">
        <v>176</v>
      </c>
      <c r="Q13" s="129"/>
      <c r="R13" s="130" t="s">
        <v>5</v>
      </c>
      <c r="S13" s="128" t="s">
        <v>6</v>
      </c>
      <c r="T13" s="128" t="s">
        <v>7</v>
      </c>
      <c r="U13" s="128" t="s">
        <v>8</v>
      </c>
      <c r="V13" s="128" t="s">
        <v>9</v>
      </c>
      <c r="W13" s="128" t="s">
        <v>10</v>
      </c>
      <c r="X13" s="131" t="s">
        <v>177</v>
      </c>
    </row>
    <row r="14" spans="1:24" ht="17.399999999999999" x14ac:dyDescent="0.35">
      <c r="A14" s="35" t="s">
        <v>66</v>
      </c>
      <c r="B14" s="36"/>
      <c r="C14" s="9">
        <v>19</v>
      </c>
      <c r="D14" s="9"/>
      <c r="E14" s="9">
        <v>13</v>
      </c>
      <c r="F14" s="9"/>
      <c r="G14" s="9">
        <v>7</v>
      </c>
      <c r="H14" s="9"/>
      <c r="I14" s="10" t="str">
        <f ca="1">IFERROR(CHOOSE((P14=H$47)*1+(P14=I$47)*2+(P14=H$45)*3,"Guld","Sølv","Bronze"),"")</f>
        <v/>
      </c>
      <c r="J14" s="11">
        <f t="shared" ref="J14:J20" ca="1" si="13">COUNTIF(team1,$B3)</f>
        <v>3</v>
      </c>
      <c r="K14" s="11">
        <f t="shared" ref="K14:K20" ca="1" si="14">COUNTIF(team2,$B3)</f>
        <v>3</v>
      </c>
      <c r="L14" s="11">
        <f t="shared" ref="L14:L20" ca="1" si="15">SUM(J14:K14)</f>
        <v>6</v>
      </c>
      <c r="M14" s="11"/>
      <c r="O14" s="119">
        <v>1</v>
      </c>
      <c r="P14" s="120" t="str">
        <f ca="1" xml:space="preserve">  INDEX(teams,MATCH(teamNum,actRank,0))</f>
        <v>Assens</v>
      </c>
      <c r="Q14" s="120"/>
      <c r="R14" s="127">
        <f t="shared" ref="R14:R20" ca="1" si="16">COUNTIFS(team1,teamName,points1,"&gt;=0")+COUNTIFS(team2,teamName,points2,"&gt;=0")</f>
        <v>0</v>
      </c>
      <c r="S14" s="143">
        <f t="shared" ref="S14:S20" ca="1" si="17">COUNTIFS(team1,teamName,points1,ptv)+COUNTIFS(team2,teamName,points2,ptv)</f>
        <v>0</v>
      </c>
      <c r="T14" s="121">
        <f t="shared" ref="T14:T20" ca="1" si="18">COUNTIFS(team1,teamName,points1,ptu)+COUNTIFS(team2,teamName,points2,ptu)</f>
        <v>0</v>
      </c>
      <c r="U14" s="121">
        <f t="shared" ref="U14:U20" ca="1" si="19">COUNTIFS(team1,teamName,points1,ptt)+COUNTIFS(team2,teamName,points2,ptt)</f>
        <v>0</v>
      </c>
      <c r="V14" s="143">
        <f t="shared" ref="V14:V20" ca="1" si="20">SUMIF(team1,teamName,goals1)+SUMIF(team2,teamName,goals2)</f>
        <v>0</v>
      </c>
      <c r="W14" s="121">
        <f t="shared" ref="W14:W20" ca="1" si="21">SUMIF(team1,teamName,goals2)+SUMIF(team2,teamName,goals1)</f>
        <v>0</v>
      </c>
      <c r="X14" s="144">
        <f t="shared" ref="X14:X20" ca="1" si="22">SUMIFS(points1,team1,teamName)+SUMIFS(points2,team2,teamName)</f>
        <v>0</v>
      </c>
    </row>
    <row r="15" spans="1:24" ht="17.399999999999999" x14ac:dyDescent="0.35">
      <c r="A15" s="35" t="s">
        <v>67</v>
      </c>
      <c r="B15" s="9"/>
      <c r="C15" s="36"/>
      <c r="D15" s="9">
        <v>9</v>
      </c>
      <c r="E15" s="9"/>
      <c r="F15" s="9">
        <v>5</v>
      </c>
      <c r="G15" s="9"/>
      <c r="H15" s="9">
        <v>1</v>
      </c>
      <c r="I15" s="10" t="str">
        <f ca="1">IFERROR(CHOOSE((P15=H$47)*1+(P15=I$47)*2+(P15=H$45)*3,"Guld","Sølv","Bronze"),"")</f>
        <v/>
      </c>
      <c r="J15" s="11">
        <f t="shared" ca="1" si="13"/>
        <v>3</v>
      </c>
      <c r="K15" s="11">
        <f t="shared" ca="1" si="14"/>
        <v>3</v>
      </c>
      <c r="L15" s="11">
        <f t="shared" ca="1" si="15"/>
        <v>6</v>
      </c>
      <c r="M15" s="11"/>
      <c r="O15" s="119">
        <v>2</v>
      </c>
      <c r="P15" s="120" t="str">
        <f t="shared" ref="P15:P20" ca="1" si="23" xml:space="preserve">  INDEX(teams,MATCH(teamNum,actRank,0))</f>
        <v>Bogense</v>
      </c>
      <c r="Q15" s="120"/>
      <c r="R15" s="127">
        <f t="shared" ca="1" si="16"/>
        <v>0</v>
      </c>
      <c r="S15" s="143">
        <f t="shared" ca="1" si="17"/>
        <v>0</v>
      </c>
      <c r="T15" s="121">
        <f t="shared" ca="1" si="18"/>
        <v>0</v>
      </c>
      <c r="U15" s="121">
        <f t="shared" ca="1" si="19"/>
        <v>0</v>
      </c>
      <c r="V15" s="143">
        <f t="shared" ca="1" si="20"/>
        <v>0</v>
      </c>
      <c r="W15" s="121">
        <f t="shared" ca="1" si="21"/>
        <v>0</v>
      </c>
      <c r="X15" s="144">
        <f t="shared" ca="1" si="22"/>
        <v>0</v>
      </c>
    </row>
    <row r="16" spans="1:24" ht="17.399999999999999" x14ac:dyDescent="0.35">
      <c r="A16" s="35" t="s">
        <v>68</v>
      </c>
      <c r="B16" s="9">
        <v>16</v>
      </c>
      <c r="C16" s="9"/>
      <c r="D16" s="36"/>
      <c r="E16" s="9">
        <v>6</v>
      </c>
      <c r="F16" s="9"/>
      <c r="G16" s="9">
        <v>2</v>
      </c>
      <c r="H16" s="9"/>
      <c r="I16" s="10" t="str">
        <f ca="1">IFERROR(CHOOSE((P16=H$47)*1+(P16=I$47)*2+(P16=H$45)*3,"Guld","Sølv","Bronze"),"")</f>
        <v/>
      </c>
      <c r="J16" s="11">
        <f t="shared" ca="1" si="13"/>
        <v>3</v>
      </c>
      <c r="K16" s="11">
        <f t="shared" ca="1" si="14"/>
        <v>3</v>
      </c>
      <c r="L16" s="11">
        <f t="shared" ca="1" si="15"/>
        <v>6</v>
      </c>
      <c r="M16" s="11"/>
      <c r="O16" s="119">
        <v>3</v>
      </c>
      <c r="P16" s="120" t="str">
        <f t="shared" ca="1" si="23"/>
        <v>Christiansfelt</v>
      </c>
      <c r="Q16" s="120"/>
      <c r="R16" s="127">
        <f t="shared" ca="1" si="16"/>
        <v>0</v>
      </c>
      <c r="S16" s="143">
        <f t="shared" ca="1" si="17"/>
        <v>0</v>
      </c>
      <c r="T16" s="121">
        <f t="shared" ca="1" si="18"/>
        <v>0</v>
      </c>
      <c r="U16" s="121">
        <f t="shared" ca="1" si="19"/>
        <v>0</v>
      </c>
      <c r="V16" s="143">
        <f t="shared" ca="1" si="20"/>
        <v>0</v>
      </c>
      <c r="W16" s="121">
        <f t="shared" ca="1" si="21"/>
        <v>0</v>
      </c>
      <c r="X16" s="144">
        <f t="shared" ca="1" si="22"/>
        <v>0</v>
      </c>
    </row>
    <row r="17" spans="1:24" ht="17.399999999999999" x14ac:dyDescent="0.35">
      <c r="A17" s="35" t="s">
        <v>69</v>
      </c>
      <c r="B17" s="9"/>
      <c r="C17" s="9">
        <v>17</v>
      </c>
      <c r="D17" s="9"/>
      <c r="E17" s="36"/>
      <c r="F17" s="9">
        <v>3</v>
      </c>
      <c r="G17" s="9"/>
      <c r="H17" s="9">
        <v>20</v>
      </c>
      <c r="I17" s="10" t="str">
        <f ca="1">IFERROR(CHOOSE((P17=H$47)*1+(P17=I$47)*2+(P17=H$45)*3,"Guld","Sølv","Bronze"),"")</f>
        <v/>
      </c>
      <c r="J17" s="11">
        <f t="shared" ca="1" si="13"/>
        <v>3</v>
      </c>
      <c r="K17" s="11">
        <f t="shared" ca="1" si="14"/>
        <v>3</v>
      </c>
      <c r="L17" s="11">
        <f t="shared" ca="1" si="15"/>
        <v>6</v>
      </c>
      <c r="M17" s="11"/>
      <c r="O17" s="119">
        <v>4</v>
      </c>
      <c r="P17" s="120" t="str">
        <f t="shared" ca="1" si="23"/>
        <v>Dragør</v>
      </c>
      <c r="Q17" s="120"/>
      <c r="R17" s="127">
        <f t="shared" ca="1" si="16"/>
        <v>0</v>
      </c>
      <c r="S17" s="143">
        <f t="shared" ca="1" si="17"/>
        <v>0</v>
      </c>
      <c r="T17" s="121">
        <f t="shared" ca="1" si="18"/>
        <v>0</v>
      </c>
      <c r="U17" s="121">
        <f t="shared" ca="1" si="19"/>
        <v>0</v>
      </c>
      <c r="V17" s="143">
        <f t="shared" ca="1" si="20"/>
        <v>0</v>
      </c>
      <c r="W17" s="121">
        <f t="shared" ca="1" si="21"/>
        <v>0</v>
      </c>
      <c r="X17" s="144">
        <f t="shared" ca="1" si="22"/>
        <v>0</v>
      </c>
    </row>
    <row r="18" spans="1:24" ht="17.399999999999999" x14ac:dyDescent="0.35">
      <c r="A18" s="35" t="s">
        <v>70</v>
      </c>
      <c r="B18" s="9">
        <v>10</v>
      </c>
      <c r="C18" s="9"/>
      <c r="D18" s="9">
        <v>14</v>
      </c>
      <c r="E18" s="9"/>
      <c r="F18" s="36"/>
      <c r="G18" s="9">
        <v>21</v>
      </c>
      <c r="H18" s="9"/>
      <c r="I18" s="10" t="str">
        <f ca="1">IFERROR(CHOOSE((P18=H$47)*1+(P18=I$47)*2+(P18=H$45)*3,"Guld","Sølv","Bronze"),"")</f>
        <v/>
      </c>
      <c r="J18" s="11">
        <f t="shared" ca="1" si="13"/>
        <v>3</v>
      </c>
      <c r="K18" s="11">
        <f t="shared" ca="1" si="14"/>
        <v>3</v>
      </c>
      <c r="L18" s="11">
        <f t="shared" ca="1" si="15"/>
        <v>6</v>
      </c>
      <c r="M18" s="11"/>
      <c r="O18" s="119">
        <v>5</v>
      </c>
      <c r="P18" s="120" t="str">
        <f t="shared" ca="1" si="23"/>
        <v>Ejby</v>
      </c>
      <c r="Q18" s="120"/>
      <c r="R18" s="127">
        <f t="shared" ca="1" si="16"/>
        <v>0</v>
      </c>
      <c r="S18" s="143">
        <f t="shared" ca="1" si="17"/>
        <v>0</v>
      </c>
      <c r="T18" s="121">
        <f t="shared" ca="1" si="18"/>
        <v>0</v>
      </c>
      <c r="U18" s="121">
        <f t="shared" ca="1" si="19"/>
        <v>0</v>
      </c>
      <c r="V18" s="143">
        <f t="shared" ca="1" si="20"/>
        <v>0</v>
      </c>
      <c r="W18" s="121">
        <f t="shared" ca="1" si="21"/>
        <v>0</v>
      </c>
      <c r="X18" s="144">
        <f t="shared" ca="1" si="22"/>
        <v>0</v>
      </c>
    </row>
    <row r="19" spans="1:24" ht="17.399999999999999" x14ac:dyDescent="0.35">
      <c r="A19" s="35" t="s">
        <v>71</v>
      </c>
      <c r="B19" s="9"/>
      <c r="C19" s="9">
        <v>15</v>
      </c>
      <c r="D19" s="9"/>
      <c r="E19" s="9">
        <v>11</v>
      </c>
      <c r="F19" s="9"/>
      <c r="G19" s="36"/>
      <c r="H19" s="9">
        <v>18</v>
      </c>
      <c r="I19" s="10"/>
      <c r="J19" s="11">
        <f t="shared" ca="1" si="13"/>
        <v>3</v>
      </c>
      <c r="K19" s="11">
        <f t="shared" ca="1" si="14"/>
        <v>3</v>
      </c>
      <c r="L19" s="11">
        <f t="shared" ca="1" si="15"/>
        <v>6</v>
      </c>
      <c r="M19" s="11"/>
      <c r="O19" s="119">
        <v>6</v>
      </c>
      <c r="P19" s="120" t="str">
        <f t="shared" ca="1" si="23"/>
        <v>Fjerritslev</v>
      </c>
      <c r="Q19" s="120"/>
      <c r="R19" s="127">
        <f t="shared" ca="1" si="16"/>
        <v>0</v>
      </c>
      <c r="S19" s="143">
        <f t="shared" ca="1" si="17"/>
        <v>0</v>
      </c>
      <c r="T19" s="121">
        <f t="shared" ca="1" si="18"/>
        <v>0</v>
      </c>
      <c r="U19" s="121">
        <f t="shared" ca="1" si="19"/>
        <v>0</v>
      </c>
      <c r="V19" s="143">
        <f t="shared" ca="1" si="20"/>
        <v>0</v>
      </c>
      <c r="W19" s="121">
        <f t="shared" ca="1" si="21"/>
        <v>0</v>
      </c>
      <c r="X19" s="144">
        <f t="shared" ca="1" si="22"/>
        <v>0</v>
      </c>
    </row>
    <row r="20" spans="1:24" ht="17.399999999999999" x14ac:dyDescent="0.35">
      <c r="A20" s="35" t="s">
        <v>72</v>
      </c>
      <c r="B20" s="9">
        <v>4</v>
      </c>
      <c r="C20" s="9"/>
      <c r="D20" s="9">
        <v>12</v>
      </c>
      <c r="E20" s="9"/>
      <c r="F20" s="9">
        <v>8</v>
      </c>
      <c r="G20" s="9"/>
      <c r="H20" s="36"/>
      <c r="I20" s="10" t="str">
        <f ca="1">IFERROR(CHOOSE((P19=H$47)*1+(P19=I$47)*2+(P19=H$45)*3,"Guld","Sølv","Bronze"),"")</f>
        <v/>
      </c>
      <c r="J20" s="11">
        <f t="shared" ca="1" si="13"/>
        <v>3</v>
      </c>
      <c r="K20" s="11">
        <f t="shared" ca="1" si="14"/>
        <v>3</v>
      </c>
      <c r="L20" s="11">
        <f t="shared" ca="1" si="15"/>
        <v>6</v>
      </c>
      <c r="M20" s="11"/>
      <c r="O20" s="119">
        <v>7</v>
      </c>
      <c r="P20" s="120" t="str">
        <f t="shared" ca="1" si="23"/>
        <v>Glamsbjerg</v>
      </c>
      <c r="Q20" s="120"/>
      <c r="R20" s="127">
        <f t="shared" ca="1" si="16"/>
        <v>0</v>
      </c>
      <c r="S20" s="143">
        <f t="shared" ca="1" si="17"/>
        <v>0</v>
      </c>
      <c r="T20" s="121">
        <f t="shared" ca="1" si="18"/>
        <v>0</v>
      </c>
      <c r="U20" s="121">
        <f t="shared" ca="1" si="19"/>
        <v>0</v>
      </c>
      <c r="V20" s="143">
        <f t="shared" ca="1" si="20"/>
        <v>0</v>
      </c>
      <c r="W20" s="121">
        <f t="shared" ca="1" si="21"/>
        <v>0</v>
      </c>
      <c r="X20" s="144">
        <f t="shared" ca="1" si="22"/>
        <v>0</v>
      </c>
    </row>
    <row r="21" spans="1:24" ht="12" customHeight="1" x14ac:dyDescent="0.2">
      <c r="A21" s="6"/>
      <c r="B21" s="37"/>
      <c r="C21" s="37"/>
      <c r="D21" s="37"/>
      <c r="E21" s="37"/>
      <c r="F21" s="37"/>
      <c r="G21" s="37"/>
      <c r="H21" s="37"/>
      <c r="I21" s="37"/>
      <c r="J21" s="11"/>
      <c r="K21" s="11"/>
      <c r="L21" s="11"/>
      <c r="M21" s="11"/>
      <c r="O21"/>
      <c r="P21"/>
      <c r="Q21"/>
      <c r="R21"/>
    </row>
    <row r="22" spans="1:24" s="12" customFormat="1" ht="15" thickBot="1" x14ac:dyDescent="0.35">
      <c r="B22"/>
      <c r="C22" s="44" t="s">
        <v>17</v>
      </c>
      <c r="D22" s="45" t="s">
        <v>18</v>
      </c>
      <c r="E22" s="46" t="s">
        <v>19</v>
      </c>
      <c r="F22" s="47" t="s">
        <v>20</v>
      </c>
      <c r="G22" s="47" t="s">
        <v>21</v>
      </c>
      <c r="H22" s="47" t="s">
        <v>22</v>
      </c>
      <c r="I22" s="47" t="s">
        <v>23</v>
      </c>
      <c r="J22" s="48" t="s">
        <v>24</v>
      </c>
      <c r="K22" s="49" t="s">
        <v>25</v>
      </c>
      <c r="L22"/>
      <c r="M22"/>
      <c r="O22" s="140" t="s">
        <v>5</v>
      </c>
      <c r="P22" s="139" t="s">
        <v>26</v>
      </c>
      <c r="Q22" s="139" t="s">
        <v>27</v>
      </c>
      <c r="R22" s="179" t="s">
        <v>25</v>
      </c>
      <c r="S22" s="179" t="s">
        <v>196</v>
      </c>
      <c r="T22" s="179" t="s">
        <v>195</v>
      </c>
      <c r="U22" s="180" t="s">
        <v>193</v>
      </c>
      <c r="V22" s="180" t="s">
        <v>194</v>
      </c>
      <c r="W22" s="138" t="s">
        <v>32</v>
      </c>
      <c r="X22" s="138" t="s">
        <v>32</v>
      </c>
    </row>
    <row r="23" spans="1:24" ht="17.399999999999999" x14ac:dyDescent="0.35">
      <c r="C23" s="50" t="s">
        <v>83</v>
      </c>
      <c r="D23" s="51"/>
      <c r="E23" s="50">
        <v>1</v>
      </c>
      <c r="F23" s="52">
        <f t="shared" ref="F23:F43" si="24">SUMPRODUCT((HxA=$E23)*(COLUMN(HxA)))-COLUMN(HxA)+1</f>
        <v>8</v>
      </c>
      <c r="G23" s="52">
        <f t="shared" ref="G23:G43" si="25">SUMPRODUCT((HxA=$E23)*(ROW(HxA)))-ROW(HxA)+1</f>
        <v>3</v>
      </c>
      <c r="H23" s="53" t="str">
        <f t="shared" ref="H23:H43" si="26">INDEX(HxA,G23,1)</f>
        <v>T_02</v>
      </c>
      <c r="I23" s="53" t="str">
        <f t="shared" ref="I23:I43" si="27">INDEX(HxA,1,F23)</f>
        <v>T_07</v>
      </c>
      <c r="J23" s="54"/>
      <c r="K23" s="55">
        <v>43832</v>
      </c>
      <c r="L23" s="12"/>
      <c r="M23" s="12"/>
      <c r="O23" s="122">
        <v>1</v>
      </c>
      <c r="P23" s="122" t="str">
        <f t="shared" ref="P23:Q43" ca="1" si="28">INDIRECT(H23)</f>
        <v>Bogense</v>
      </c>
      <c r="Q23" s="122" t="str">
        <f t="shared" ca="1" si="28"/>
        <v>Glamsbjerg</v>
      </c>
      <c r="R23" s="161"/>
      <c r="S23" s="162" t="s">
        <v>33</v>
      </c>
      <c r="T23" s="163"/>
      <c r="U23" s="164"/>
      <c r="V23" s="165"/>
      <c r="W23" s="121" t="str">
        <f t="shared" ref="W23:W43" si="29">IF(ISNUMBER(U23)*ISNUMBER(V23),IF(U23&gt;V23,ptv, IF(U23=V23,ptu,ptt)),"-")</f>
        <v>-</v>
      </c>
      <c r="X23" s="121" t="str">
        <f t="shared" ref="X23:X43" si="30">IF(ISNUMBER(U23)*ISNUMBER(V23),IF(W23=ptv,ptt,IF(W23=ptu,ptu,ptv)),"-")</f>
        <v>-</v>
      </c>
    </row>
    <row r="24" spans="1:24" ht="17.399999999999999" x14ac:dyDescent="0.35">
      <c r="C24" s="56" t="s">
        <v>84</v>
      </c>
      <c r="D24" s="57">
        <f t="shared" ref="D24:D43" si="31">OR(H24=H23,H24=I23,I24=H23,I24=I23)*1</f>
        <v>0</v>
      </c>
      <c r="E24" s="56">
        <v>2</v>
      </c>
      <c r="F24" s="58">
        <f t="shared" si="24"/>
        <v>7</v>
      </c>
      <c r="G24" s="58">
        <f t="shared" si="25"/>
        <v>4</v>
      </c>
      <c r="H24" s="59" t="str">
        <f t="shared" si="26"/>
        <v>T_03</v>
      </c>
      <c r="I24" s="59" t="str">
        <f t="shared" si="27"/>
        <v>T_06</v>
      </c>
      <c r="J24" s="59">
        <v>0</v>
      </c>
      <c r="K24" s="60">
        <f>$K$23+J24</f>
        <v>43832</v>
      </c>
      <c r="O24" s="122">
        <v>2</v>
      </c>
      <c r="P24" s="122" t="str">
        <f t="shared" ca="1" si="28"/>
        <v>Christiansfelt</v>
      </c>
      <c r="Q24" s="122" t="str">
        <f t="shared" ca="1" si="28"/>
        <v>Fjerritslev</v>
      </c>
      <c r="R24" s="134"/>
      <c r="S24" s="123" t="str">
        <f>IFERROR(S23+mMin,"-")</f>
        <v>-</v>
      </c>
      <c r="T24" s="146"/>
      <c r="U24" s="147"/>
      <c r="V24" s="148"/>
      <c r="W24" s="121" t="str">
        <f t="shared" si="29"/>
        <v>-</v>
      </c>
      <c r="X24" s="121" t="str">
        <f t="shared" si="30"/>
        <v>-</v>
      </c>
    </row>
    <row r="25" spans="1:24" ht="18" thickBot="1" x14ac:dyDescent="0.4">
      <c r="C25" s="56" t="s">
        <v>85</v>
      </c>
      <c r="D25" s="57">
        <f t="shared" si="31"/>
        <v>0</v>
      </c>
      <c r="E25" s="56">
        <v>3</v>
      </c>
      <c r="F25" s="58">
        <f t="shared" si="24"/>
        <v>6</v>
      </c>
      <c r="G25" s="58">
        <f t="shared" si="25"/>
        <v>5</v>
      </c>
      <c r="H25" s="59" t="str">
        <f t="shared" si="26"/>
        <v>T_04</v>
      </c>
      <c r="I25" s="59" t="str">
        <f t="shared" si="27"/>
        <v>T_05</v>
      </c>
      <c r="J25" s="59">
        <v>0</v>
      </c>
      <c r="K25" s="60">
        <f>$K$23+J25</f>
        <v>43832</v>
      </c>
      <c r="O25" s="124">
        <v>3</v>
      </c>
      <c r="P25" s="124" t="str">
        <f t="shared" ca="1" si="28"/>
        <v>Dragør</v>
      </c>
      <c r="Q25" s="124" t="str">
        <f t="shared" ca="1" si="28"/>
        <v>Ejby</v>
      </c>
      <c r="R25" s="135"/>
      <c r="S25" s="125" t="str">
        <f>IFERROR(S24+mMin,"-")</f>
        <v>-</v>
      </c>
      <c r="T25" s="149"/>
      <c r="U25" s="150"/>
      <c r="V25" s="151"/>
      <c r="W25" s="126" t="str">
        <f t="shared" si="29"/>
        <v>-</v>
      </c>
      <c r="X25" s="126" t="str">
        <f t="shared" si="30"/>
        <v>-</v>
      </c>
    </row>
    <row r="26" spans="1:24" ht="17.399999999999999" x14ac:dyDescent="0.35">
      <c r="C26" s="56" t="s">
        <v>91</v>
      </c>
      <c r="D26" s="57">
        <f t="shared" si="31"/>
        <v>0</v>
      </c>
      <c r="E26" s="56">
        <v>4</v>
      </c>
      <c r="F26" s="58">
        <f t="shared" si="24"/>
        <v>2</v>
      </c>
      <c r="G26" s="58">
        <f t="shared" si="25"/>
        <v>8</v>
      </c>
      <c r="H26" s="59" t="str">
        <f t="shared" si="26"/>
        <v>T_07</v>
      </c>
      <c r="I26" s="59" t="str">
        <f t="shared" si="27"/>
        <v>T_01</v>
      </c>
      <c r="J26" s="59">
        <v>1</v>
      </c>
      <c r="K26" s="60">
        <f t="shared" ref="K26:K47" si="32">$K$23+J26</f>
        <v>43833</v>
      </c>
      <c r="O26" s="160">
        <v>4</v>
      </c>
      <c r="P26" s="160" t="str">
        <f t="shared" ca="1" si="28"/>
        <v>Glamsbjerg</v>
      </c>
      <c r="Q26" s="160" t="str">
        <f t="shared" ca="1" si="28"/>
        <v>Assens</v>
      </c>
      <c r="R26" s="161"/>
      <c r="S26" s="162" t="s">
        <v>33</v>
      </c>
      <c r="T26" s="163"/>
      <c r="U26" s="164"/>
      <c r="V26" s="165"/>
      <c r="W26" s="166" t="str">
        <f t="shared" si="29"/>
        <v>-</v>
      </c>
      <c r="X26" s="166" t="str">
        <f t="shared" si="30"/>
        <v>-</v>
      </c>
    </row>
    <row r="27" spans="1:24" ht="17.399999999999999" x14ac:dyDescent="0.35">
      <c r="C27" s="56" t="s">
        <v>89</v>
      </c>
      <c r="D27" s="57">
        <f t="shared" si="31"/>
        <v>0</v>
      </c>
      <c r="E27" s="56">
        <v>5</v>
      </c>
      <c r="F27" s="58">
        <f t="shared" si="24"/>
        <v>6</v>
      </c>
      <c r="G27" s="58">
        <f t="shared" si="25"/>
        <v>3</v>
      </c>
      <c r="H27" s="59" t="str">
        <f t="shared" si="26"/>
        <v>T_02</v>
      </c>
      <c r="I27" s="59" t="str">
        <f t="shared" si="27"/>
        <v>T_05</v>
      </c>
      <c r="J27" s="59">
        <v>1</v>
      </c>
      <c r="K27" s="60">
        <f t="shared" si="32"/>
        <v>43833</v>
      </c>
      <c r="O27" s="122">
        <v>5</v>
      </c>
      <c r="P27" s="122" t="str">
        <f t="shared" ca="1" si="28"/>
        <v>Bogense</v>
      </c>
      <c r="Q27" s="122" t="str">
        <f t="shared" ca="1" si="28"/>
        <v>Ejby</v>
      </c>
      <c r="R27" s="134"/>
      <c r="S27" s="123" t="str">
        <f>IFERROR(S26+mMin,"-")</f>
        <v>-</v>
      </c>
      <c r="T27" s="146"/>
      <c r="U27" s="147"/>
      <c r="V27" s="148"/>
      <c r="W27" s="121" t="str">
        <f t="shared" si="29"/>
        <v>-</v>
      </c>
      <c r="X27" s="121" t="str">
        <f t="shared" si="30"/>
        <v>-</v>
      </c>
    </row>
    <row r="28" spans="1:24" ht="18" thickBot="1" x14ac:dyDescent="0.4">
      <c r="C28" s="56" t="s">
        <v>90</v>
      </c>
      <c r="D28" s="57">
        <f t="shared" si="31"/>
        <v>0</v>
      </c>
      <c r="E28" s="56">
        <v>6</v>
      </c>
      <c r="F28" s="58">
        <f t="shared" si="24"/>
        <v>5</v>
      </c>
      <c r="G28" s="58">
        <f t="shared" si="25"/>
        <v>4</v>
      </c>
      <c r="H28" s="59" t="str">
        <f t="shared" si="26"/>
        <v>T_03</v>
      </c>
      <c r="I28" s="59" t="str">
        <f t="shared" si="27"/>
        <v>T_04</v>
      </c>
      <c r="J28" s="59">
        <v>1</v>
      </c>
      <c r="K28" s="60">
        <f t="shared" si="32"/>
        <v>43833</v>
      </c>
      <c r="O28" s="124">
        <v>6</v>
      </c>
      <c r="P28" s="124" t="str">
        <f t="shared" ca="1" si="28"/>
        <v>Christiansfelt</v>
      </c>
      <c r="Q28" s="124" t="str">
        <f t="shared" ca="1" si="28"/>
        <v>Dragør</v>
      </c>
      <c r="R28" s="135"/>
      <c r="S28" s="125" t="str">
        <f>IFERROR(S27+mMin,"-")</f>
        <v>-</v>
      </c>
      <c r="T28" s="149"/>
      <c r="U28" s="150"/>
      <c r="V28" s="151"/>
      <c r="W28" s="126" t="str">
        <f t="shared" si="29"/>
        <v>-</v>
      </c>
      <c r="X28" s="126" t="str">
        <f t="shared" si="30"/>
        <v>-</v>
      </c>
    </row>
    <row r="29" spans="1:24" ht="17.399999999999999" x14ac:dyDescent="0.35">
      <c r="C29" s="56" t="s">
        <v>96</v>
      </c>
      <c r="D29" s="57">
        <f t="shared" si="31"/>
        <v>0</v>
      </c>
      <c r="E29" s="56">
        <v>7</v>
      </c>
      <c r="F29" s="58">
        <f t="shared" si="24"/>
        <v>7</v>
      </c>
      <c r="G29" s="58">
        <f t="shared" si="25"/>
        <v>2</v>
      </c>
      <c r="H29" s="59" t="str">
        <f t="shared" si="26"/>
        <v>T_01</v>
      </c>
      <c r="I29" s="59" t="str">
        <f t="shared" si="27"/>
        <v>T_06</v>
      </c>
      <c r="J29" s="59">
        <v>2</v>
      </c>
      <c r="K29" s="60">
        <f t="shared" si="32"/>
        <v>43834</v>
      </c>
      <c r="O29" s="122">
        <v>7</v>
      </c>
      <c r="P29" s="122" t="str">
        <f t="shared" ca="1" si="28"/>
        <v>Assens</v>
      </c>
      <c r="Q29" s="122" t="str">
        <f t="shared" ca="1" si="28"/>
        <v>Fjerritslev</v>
      </c>
      <c r="R29" s="134"/>
      <c r="S29" s="123" t="s">
        <v>33</v>
      </c>
      <c r="T29" s="146"/>
      <c r="U29" s="147"/>
      <c r="V29" s="148"/>
      <c r="W29" s="121" t="str">
        <f t="shared" si="29"/>
        <v>-</v>
      </c>
      <c r="X29" s="121" t="str">
        <f t="shared" si="30"/>
        <v>-</v>
      </c>
    </row>
    <row r="30" spans="1:24" ht="17.399999999999999" x14ac:dyDescent="0.35">
      <c r="C30" s="56" t="s">
        <v>97</v>
      </c>
      <c r="D30" s="57">
        <f t="shared" si="31"/>
        <v>0</v>
      </c>
      <c r="E30" s="56">
        <v>8</v>
      </c>
      <c r="F30" s="58">
        <f t="shared" si="24"/>
        <v>6</v>
      </c>
      <c r="G30" s="58">
        <f t="shared" si="25"/>
        <v>8</v>
      </c>
      <c r="H30" s="59" t="str">
        <f t="shared" si="26"/>
        <v>T_07</v>
      </c>
      <c r="I30" s="59" t="str">
        <f t="shared" si="27"/>
        <v>T_05</v>
      </c>
      <c r="J30" s="59">
        <v>2</v>
      </c>
      <c r="K30" s="60">
        <f t="shared" si="32"/>
        <v>43834</v>
      </c>
      <c r="O30" s="122">
        <v>8</v>
      </c>
      <c r="P30" s="122" t="str">
        <f t="shared" ca="1" si="28"/>
        <v>Glamsbjerg</v>
      </c>
      <c r="Q30" s="122" t="str">
        <f t="shared" ca="1" si="28"/>
        <v>Ejby</v>
      </c>
      <c r="R30" s="134"/>
      <c r="S30" s="123" t="str">
        <f>IFERROR(S29+mMin,"-")</f>
        <v>-</v>
      </c>
      <c r="T30" s="146"/>
      <c r="U30" s="147"/>
      <c r="V30" s="148"/>
      <c r="W30" s="121" t="str">
        <f t="shared" si="29"/>
        <v>-</v>
      </c>
      <c r="X30" s="121" t="str">
        <f t="shared" si="30"/>
        <v>-</v>
      </c>
    </row>
    <row r="31" spans="1:24" ht="18" thickBot="1" x14ac:dyDescent="0.4">
      <c r="C31" s="56" t="s">
        <v>95</v>
      </c>
      <c r="D31" s="57">
        <f t="shared" si="31"/>
        <v>0</v>
      </c>
      <c r="E31" s="56">
        <v>9</v>
      </c>
      <c r="F31" s="58">
        <f t="shared" si="24"/>
        <v>4</v>
      </c>
      <c r="G31" s="58">
        <f t="shared" si="25"/>
        <v>3</v>
      </c>
      <c r="H31" s="59" t="str">
        <f t="shared" si="26"/>
        <v>T_02</v>
      </c>
      <c r="I31" s="59" t="str">
        <f t="shared" si="27"/>
        <v>T_03</v>
      </c>
      <c r="J31" s="59">
        <v>2</v>
      </c>
      <c r="K31" s="60">
        <f t="shared" si="32"/>
        <v>43834</v>
      </c>
      <c r="O31" s="124">
        <v>9</v>
      </c>
      <c r="P31" s="124" t="str">
        <f t="shared" ca="1" si="28"/>
        <v>Bogense</v>
      </c>
      <c r="Q31" s="124" t="str">
        <f t="shared" ca="1" si="28"/>
        <v>Christiansfelt</v>
      </c>
      <c r="R31" s="135"/>
      <c r="S31" s="125" t="str">
        <f>IFERROR(S30+mMin,"-")</f>
        <v>-</v>
      </c>
      <c r="T31" s="149"/>
      <c r="U31" s="150"/>
      <c r="V31" s="151"/>
      <c r="W31" s="126" t="str">
        <f t="shared" si="29"/>
        <v>-</v>
      </c>
      <c r="X31" s="126" t="str">
        <f t="shared" si="30"/>
        <v>-</v>
      </c>
    </row>
    <row r="32" spans="1:24" ht="17.399999999999999" x14ac:dyDescent="0.35">
      <c r="C32" s="56" t="s">
        <v>101</v>
      </c>
      <c r="D32" s="57">
        <f t="shared" si="31"/>
        <v>0</v>
      </c>
      <c r="E32" s="56">
        <v>10</v>
      </c>
      <c r="F32" s="58">
        <f t="shared" si="24"/>
        <v>2</v>
      </c>
      <c r="G32" s="58">
        <f t="shared" si="25"/>
        <v>6</v>
      </c>
      <c r="H32" s="59" t="str">
        <f t="shared" si="26"/>
        <v>T_05</v>
      </c>
      <c r="I32" s="59" t="str">
        <f t="shared" si="27"/>
        <v>T_01</v>
      </c>
      <c r="J32" s="59">
        <v>3</v>
      </c>
      <c r="K32" s="60">
        <f t="shared" si="32"/>
        <v>43835</v>
      </c>
      <c r="O32" s="122">
        <v>10</v>
      </c>
      <c r="P32" s="122" t="str">
        <f t="shared" ca="1" si="28"/>
        <v>Ejby</v>
      </c>
      <c r="Q32" s="122" t="str">
        <f t="shared" ca="1" si="28"/>
        <v>Assens</v>
      </c>
      <c r="R32" s="134"/>
      <c r="S32" s="123" t="s">
        <v>33</v>
      </c>
      <c r="T32" s="146"/>
      <c r="U32" s="147"/>
      <c r="V32" s="148"/>
      <c r="W32" s="121" t="str">
        <f t="shared" si="29"/>
        <v>-</v>
      </c>
      <c r="X32" s="121" t="str">
        <f t="shared" si="30"/>
        <v>-</v>
      </c>
    </row>
    <row r="33" spans="3:24" ht="17.399999999999999" x14ac:dyDescent="0.35">
      <c r="C33" s="56" t="s">
        <v>102</v>
      </c>
      <c r="D33" s="57">
        <f t="shared" si="31"/>
        <v>0</v>
      </c>
      <c r="E33" s="56">
        <v>11</v>
      </c>
      <c r="F33" s="58">
        <f t="shared" si="24"/>
        <v>5</v>
      </c>
      <c r="G33" s="58">
        <f t="shared" si="25"/>
        <v>7</v>
      </c>
      <c r="H33" s="59" t="str">
        <f t="shared" si="26"/>
        <v>T_06</v>
      </c>
      <c r="I33" s="59" t="str">
        <f t="shared" si="27"/>
        <v>T_04</v>
      </c>
      <c r="J33" s="59">
        <v>3</v>
      </c>
      <c r="K33" s="60">
        <f t="shared" si="32"/>
        <v>43835</v>
      </c>
      <c r="O33" s="122">
        <v>11</v>
      </c>
      <c r="P33" s="122" t="str">
        <f t="shared" ca="1" si="28"/>
        <v>Fjerritslev</v>
      </c>
      <c r="Q33" s="122" t="str">
        <f t="shared" ca="1" si="28"/>
        <v>Dragør</v>
      </c>
      <c r="R33" s="134"/>
      <c r="S33" s="123" t="str">
        <f>IFERROR(S32+mMin,"-")</f>
        <v>-</v>
      </c>
      <c r="T33" s="146"/>
      <c r="U33" s="147"/>
      <c r="V33" s="148"/>
      <c r="W33" s="121" t="str">
        <f t="shared" si="29"/>
        <v>-</v>
      </c>
      <c r="X33" s="121" t="str">
        <f t="shared" si="30"/>
        <v>-</v>
      </c>
    </row>
    <row r="34" spans="3:24" ht="18" thickBot="1" x14ac:dyDescent="0.4">
      <c r="C34" s="56" t="s">
        <v>103</v>
      </c>
      <c r="D34" s="57">
        <f t="shared" si="31"/>
        <v>0</v>
      </c>
      <c r="E34" s="56">
        <v>12</v>
      </c>
      <c r="F34" s="58">
        <f t="shared" si="24"/>
        <v>4</v>
      </c>
      <c r="G34" s="58">
        <f t="shared" si="25"/>
        <v>8</v>
      </c>
      <c r="H34" s="59" t="str">
        <f t="shared" si="26"/>
        <v>T_07</v>
      </c>
      <c r="I34" s="59" t="str">
        <f t="shared" si="27"/>
        <v>T_03</v>
      </c>
      <c r="J34" s="59">
        <v>3</v>
      </c>
      <c r="K34" s="60">
        <f t="shared" si="32"/>
        <v>43835</v>
      </c>
      <c r="O34" s="124">
        <v>12</v>
      </c>
      <c r="P34" s="124" t="str">
        <f t="shared" ca="1" si="28"/>
        <v>Glamsbjerg</v>
      </c>
      <c r="Q34" s="124" t="str">
        <f t="shared" ca="1" si="28"/>
        <v>Christiansfelt</v>
      </c>
      <c r="R34" s="135"/>
      <c r="S34" s="125" t="str">
        <f>IFERROR(S33+mMin,"-")</f>
        <v>-</v>
      </c>
      <c r="T34" s="149"/>
      <c r="U34" s="150"/>
      <c r="V34" s="151"/>
      <c r="W34" s="126" t="str">
        <f t="shared" si="29"/>
        <v>-</v>
      </c>
      <c r="X34" s="126" t="str">
        <f t="shared" si="30"/>
        <v>-</v>
      </c>
    </row>
    <row r="35" spans="3:24" ht="17.399999999999999" x14ac:dyDescent="0.35">
      <c r="C35" s="56" t="s">
        <v>106</v>
      </c>
      <c r="D35" s="57">
        <f t="shared" si="31"/>
        <v>0</v>
      </c>
      <c r="E35" s="56">
        <v>13</v>
      </c>
      <c r="F35" s="58">
        <f t="shared" si="24"/>
        <v>5</v>
      </c>
      <c r="G35" s="58">
        <f t="shared" si="25"/>
        <v>2</v>
      </c>
      <c r="H35" s="59" t="str">
        <f t="shared" si="26"/>
        <v>T_01</v>
      </c>
      <c r="I35" s="59" t="str">
        <f t="shared" si="27"/>
        <v>T_04</v>
      </c>
      <c r="J35" s="59">
        <v>4</v>
      </c>
      <c r="K35" s="60">
        <f t="shared" si="32"/>
        <v>43836</v>
      </c>
      <c r="O35" s="122">
        <v>13</v>
      </c>
      <c r="P35" s="122" t="str">
        <f t="shared" ca="1" si="28"/>
        <v>Assens</v>
      </c>
      <c r="Q35" s="122" t="str">
        <f t="shared" ca="1" si="28"/>
        <v>Dragør</v>
      </c>
      <c r="R35" s="134"/>
      <c r="S35" s="123" t="s">
        <v>33</v>
      </c>
      <c r="T35" s="146"/>
      <c r="U35" s="147"/>
      <c r="V35" s="148"/>
      <c r="W35" s="121" t="str">
        <f t="shared" si="29"/>
        <v>-</v>
      </c>
      <c r="X35" s="121" t="str">
        <f t="shared" si="30"/>
        <v>-</v>
      </c>
    </row>
    <row r="36" spans="3:24" ht="17.399999999999999" x14ac:dyDescent="0.35">
      <c r="C36" s="56" t="s">
        <v>107</v>
      </c>
      <c r="D36" s="57">
        <f t="shared" si="31"/>
        <v>0</v>
      </c>
      <c r="E36" s="56">
        <v>14</v>
      </c>
      <c r="F36" s="58">
        <f t="shared" si="24"/>
        <v>4</v>
      </c>
      <c r="G36" s="58">
        <f t="shared" si="25"/>
        <v>6</v>
      </c>
      <c r="H36" s="59" t="str">
        <f t="shared" si="26"/>
        <v>T_05</v>
      </c>
      <c r="I36" s="59" t="str">
        <f t="shared" si="27"/>
        <v>T_03</v>
      </c>
      <c r="J36" s="59">
        <v>4</v>
      </c>
      <c r="K36" s="60">
        <f t="shared" si="32"/>
        <v>43836</v>
      </c>
      <c r="O36" s="122">
        <v>14</v>
      </c>
      <c r="P36" s="122" t="str">
        <f t="shared" ca="1" si="28"/>
        <v>Ejby</v>
      </c>
      <c r="Q36" s="122" t="str">
        <f t="shared" ca="1" si="28"/>
        <v>Christiansfelt</v>
      </c>
      <c r="R36" s="134"/>
      <c r="S36" s="123" t="str">
        <f>IFERROR(S35+mMin,"-")</f>
        <v>-</v>
      </c>
      <c r="T36" s="146"/>
      <c r="U36" s="147"/>
      <c r="V36" s="148"/>
      <c r="W36" s="121" t="str">
        <f t="shared" si="29"/>
        <v>-</v>
      </c>
      <c r="X36" s="121" t="str">
        <f t="shared" si="30"/>
        <v>-</v>
      </c>
    </row>
    <row r="37" spans="3:24" ht="18" thickBot="1" x14ac:dyDescent="0.4">
      <c r="C37" s="56" t="s">
        <v>108</v>
      </c>
      <c r="D37" s="57">
        <f t="shared" si="31"/>
        <v>0</v>
      </c>
      <c r="E37" s="56">
        <v>15</v>
      </c>
      <c r="F37" s="58">
        <f t="shared" si="24"/>
        <v>3</v>
      </c>
      <c r="G37" s="58">
        <f t="shared" si="25"/>
        <v>7</v>
      </c>
      <c r="H37" s="59" t="str">
        <f t="shared" si="26"/>
        <v>T_06</v>
      </c>
      <c r="I37" s="59" t="str">
        <f t="shared" si="27"/>
        <v>T_02</v>
      </c>
      <c r="J37" s="59">
        <v>4</v>
      </c>
      <c r="K37" s="60">
        <f t="shared" si="32"/>
        <v>43836</v>
      </c>
      <c r="O37" s="124">
        <v>15</v>
      </c>
      <c r="P37" s="124" t="str">
        <f t="shared" ca="1" si="28"/>
        <v>Fjerritslev</v>
      </c>
      <c r="Q37" s="124" t="str">
        <f t="shared" ca="1" si="28"/>
        <v>Bogense</v>
      </c>
      <c r="R37" s="135"/>
      <c r="S37" s="125" t="str">
        <f>IFERROR(S36+mMin,"-")</f>
        <v>-</v>
      </c>
      <c r="T37" s="149"/>
      <c r="U37" s="150"/>
      <c r="V37" s="151"/>
      <c r="W37" s="126" t="str">
        <f t="shared" si="29"/>
        <v>-</v>
      </c>
      <c r="X37" s="126" t="str">
        <f t="shared" si="30"/>
        <v>-</v>
      </c>
    </row>
    <row r="38" spans="3:24" ht="17.399999999999999" x14ac:dyDescent="0.35">
      <c r="C38" s="56" t="s">
        <v>111</v>
      </c>
      <c r="D38" s="57">
        <f t="shared" si="31"/>
        <v>0</v>
      </c>
      <c r="E38" s="56">
        <v>16</v>
      </c>
      <c r="F38" s="58">
        <f t="shared" si="24"/>
        <v>2</v>
      </c>
      <c r="G38" s="58">
        <f t="shared" si="25"/>
        <v>4</v>
      </c>
      <c r="H38" s="59" t="str">
        <f t="shared" si="26"/>
        <v>T_03</v>
      </c>
      <c r="I38" s="59" t="str">
        <f t="shared" si="27"/>
        <v>T_01</v>
      </c>
      <c r="J38" s="59">
        <v>5</v>
      </c>
      <c r="K38" s="60">
        <f t="shared" si="32"/>
        <v>43837</v>
      </c>
      <c r="O38" s="122">
        <v>16</v>
      </c>
      <c r="P38" s="122" t="str">
        <f t="shared" ca="1" si="28"/>
        <v>Christiansfelt</v>
      </c>
      <c r="Q38" s="122" t="str">
        <f t="shared" ca="1" si="28"/>
        <v>Assens</v>
      </c>
      <c r="R38" s="134"/>
      <c r="S38" s="123" t="s">
        <v>33</v>
      </c>
      <c r="T38" s="146"/>
      <c r="U38" s="147"/>
      <c r="V38" s="148"/>
      <c r="W38" s="121" t="str">
        <f t="shared" si="29"/>
        <v>-</v>
      </c>
      <c r="X38" s="121" t="str">
        <f t="shared" si="30"/>
        <v>-</v>
      </c>
    </row>
    <row r="39" spans="3:24" ht="17.399999999999999" x14ac:dyDescent="0.35">
      <c r="C39" s="56" t="s">
        <v>112</v>
      </c>
      <c r="D39" s="57">
        <f t="shared" si="31"/>
        <v>0</v>
      </c>
      <c r="E39" s="56">
        <v>17</v>
      </c>
      <c r="F39" s="58">
        <f t="shared" si="24"/>
        <v>3</v>
      </c>
      <c r="G39" s="58">
        <f t="shared" si="25"/>
        <v>5</v>
      </c>
      <c r="H39" s="59" t="str">
        <f t="shared" si="26"/>
        <v>T_04</v>
      </c>
      <c r="I39" s="59" t="str">
        <f t="shared" si="27"/>
        <v>T_02</v>
      </c>
      <c r="J39" s="59">
        <v>5</v>
      </c>
      <c r="K39" s="60">
        <f t="shared" si="32"/>
        <v>43837</v>
      </c>
      <c r="O39" s="122">
        <v>17</v>
      </c>
      <c r="P39" s="122" t="str">
        <f t="shared" ca="1" si="28"/>
        <v>Dragør</v>
      </c>
      <c r="Q39" s="122" t="str">
        <f t="shared" ca="1" si="28"/>
        <v>Bogense</v>
      </c>
      <c r="R39" s="134"/>
      <c r="S39" s="123" t="str">
        <f>IFERROR(S38+mMin,"-")</f>
        <v>-</v>
      </c>
      <c r="T39" s="146"/>
      <c r="U39" s="147"/>
      <c r="V39" s="148"/>
      <c r="W39" s="121" t="str">
        <f t="shared" si="29"/>
        <v>-</v>
      </c>
      <c r="X39" s="121" t="str">
        <f t="shared" si="30"/>
        <v>-</v>
      </c>
    </row>
    <row r="40" spans="3:24" ht="18" thickBot="1" x14ac:dyDescent="0.4">
      <c r="C40" s="56" t="s">
        <v>120</v>
      </c>
      <c r="D40" s="57">
        <f t="shared" si="31"/>
        <v>0</v>
      </c>
      <c r="E40" s="56">
        <v>18</v>
      </c>
      <c r="F40" s="58">
        <f t="shared" si="24"/>
        <v>8</v>
      </c>
      <c r="G40" s="58">
        <f t="shared" si="25"/>
        <v>7</v>
      </c>
      <c r="H40" s="59" t="str">
        <f t="shared" si="26"/>
        <v>T_06</v>
      </c>
      <c r="I40" s="59" t="str">
        <f t="shared" si="27"/>
        <v>T_07</v>
      </c>
      <c r="J40" s="59">
        <v>5</v>
      </c>
      <c r="K40" s="60">
        <f t="shared" si="32"/>
        <v>43837</v>
      </c>
      <c r="O40" s="124">
        <v>18</v>
      </c>
      <c r="P40" s="124" t="str">
        <f t="shared" ca="1" si="28"/>
        <v>Fjerritslev</v>
      </c>
      <c r="Q40" s="124" t="str">
        <f t="shared" ca="1" si="28"/>
        <v>Glamsbjerg</v>
      </c>
      <c r="R40" s="135"/>
      <c r="S40" s="125" t="str">
        <f>IFERROR(S39+mMin,"-")</f>
        <v>-</v>
      </c>
      <c r="T40" s="149"/>
      <c r="U40" s="150"/>
      <c r="V40" s="151"/>
      <c r="W40" s="126" t="str">
        <f t="shared" si="29"/>
        <v>-</v>
      </c>
      <c r="X40" s="126" t="str">
        <f t="shared" si="30"/>
        <v>-</v>
      </c>
    </row>
    <row r="41" spans="3:24" ht="17.399999999999999" x14ac:dyDescent="0.35">
      <c r="C41" s="56" t="s">
        <v>116</v>
      </c>
      <c r="D41" s="57">
        <f t="shared" si="31"/>
        <v>0</v>
      </c>
      <c r="E41" s="56">
        <v>19</v>
      </c>
      <c r="F41" s="58">
        <f t="shared" si="24"/>
        <v>3</v>
      </c>
      <c r="G41" s="58">
        <f t="shared" si="25"/>
        <v>2</v>
      </c>
      <c r="H41" s="59" t="str">
        <f t="shared" si="26"/>
        <v>T_01</v>
      </c>
      <c r="I41" s="59" t="str">
        <f t="shared" si="27"/>
        <v>T_02</v>
      </c>
      <c r="J41" s="59">
        <v>6</v>
      </c>
      <c r="K41" s="60">
        <f t="shared" si="32"/>
        <v>43838</v>
      </c>
      <c r="O41" s="122">
        <v>19</v>
      </c>
      <c r="P41" s="122" t="str">
        <f t="shared" ca="1" si="28"/>
        <v>Assens</v>
      </c>
      <c r="Q41" s="122" t="str">
        <f t="shared" ca="1" si="28"/>
        <v>Bogense</v>
      </c>
      <c r="R41" s="134"/>
      <c r="S41" s="123" t="s">
        <v>33</v>
      </c>
      <c r="T41" s="146"/>
      <c r="U41" s="147"/>
      <c r="V41" s="148"/>
      <c r="W41" s="121" t="str">
        <f t="shared" si="29"/>
        <v>-</v>
      </c>
      <c r="X41" s="121" t="str">
        <f t="shared" si="30"/>
        <v>-</v>
      </c>
    </row>
    <row r="42" spans="3:24" ht="17.399999999999999" x14ac:dyDescent="0.35">
      <c r="C42" s="56" t="s">
        <v>79</v>
      </c>
      <c r="D42" s="57">
        <f t="shared" si="31"/>
        <v>0</v>
      </c>
      <c r="E42" s="56">
        <v>20</v>
      </c>
      <c r="F42" s="58">
        <f t="shared" si="24"/>
        <v>8</v>
      </c>
      <c r="G42" s="58">
        <f t="shared" si="25"/>
        <v>5</v>
      </c>
      <c r="H42" s="59" t="str">
        <f t="shared" si="26"/>
        <v>T_04</v>
      </c>
      <c r="I42" s="59" t="str">
        <f t="shared" si="27"/>
        <v>T_07</v>
      </c>
      <c r="J42" s="59">
        <v>6</v>
      </c>
      <c r="K42" s="60">
        <f t="shared" si="32"/>
        <v>43838</v>
      </c>
      <c r="O42" s="122">
        <v>20</v>
      </c>
      <c r="P42" s="122" t="str">
        <f t="shared" ca="1" si="28"/>
        <v>Dragør</v>
      </c>
      <c r="Q42" s="122" t="str">
        <f t="shared" ca="1" si="28"/>
        <v>Glamsbjerg</v>
      </c>
      <c r="R42" s="134"/>
      <c r="S42" s="123" t="str">
        <f>IFERROR(S41+mMin,"-")</f>
        <v>-</v>
      </c>
      <c r="T42" s="146"/>
      <c r="U42" s="147"/>
      <c r="V42" s="148"/>
      <c r="W42" s="121" t="str">
        <f t="shared" si="29"/>
        <v>-</v>
      </c>
      <c r="X42" s="121" t="str">
        <f t="shared" si="30"/>
        <v>-</v>
      </c>
    </row>
    <row r="43" spans="3:24" ht="18" thickBot="1" x14ac:dyDescent="0.4">
      <c r="C43" s="56" t="s">
        <v>80</v>
      </c>
      <c r="D43" s="57">
        <f t="shared" si="31"/>
        <v>0</v>
      </c>
      <c r="E43" s="56">
        <v>21</v>
      </c>
      <c r="F43" s="58">
        <f t="shared" si="24"/>
        <v>7</v>
      </c>
      <c r="G43" s="58">
        <f t="shared" si="25"/>
        <v>6</v>
      </c>
      <c r="H43" s="59" t="str">
        <f t="shared" si="26"/>
        <v>T_05</v>
      </c>
      <c r="I43" s="59" t="str">
        <f t="shared" si="27"/>
        <v>T_06</v>
      </c>
      <c r="J43" s="59">
        <v>6</v>
      </c>
      <c r="K43" s="60">
        <f t="shared" si="32"/>
        <v>43838</v>
      </c>
      <c r="O43" s="124">
        <v>21</v>
      </c>
      <c r="P43" s="124" t="str">
        <f t="shared" ca="1" si="28"/>
        <v>Ejby</v>
      </c>
      <c r="Q43" s="124" t="str">
        <f t="shared" ca="1" si="28"/>
        <v>Fjerritslev</v>
      </c>
      <c r="R43" s="135"/>
      <c r="S43" s="125" t="str">
        <f>IFERROR(S42+mMin,"-")</f>
        <v>-</v>
      </c>
      <c r="T43" s="149"/>
      <c r="U43" s="150"/>
      <c r="V43" s="151"/>
      <c r="W43" s="126" t="str">
        <f t="shared" si="29"/>
        <v>-</v>
      </c>
      <c r="X43" s="126" t="str">
        <f t="shared" si="30"/>
        <v>-</v>
      </c>
    </row>
    <row r="44" spans="3:24" ht="18" thickBot="1" x14ac:dyDescent="0.4">
      <c r="H44" s="19" t="s">
        <v>34</v>
      </c>
      <c r="I44" s="19" t="s">
        <v>35</v>
      </c>
      <c r="J44" s="38"/>
      <c r="K44" s="17"/>
      <c r="P44" s="92"/>
      <c r="Q44" s="92"/>
      <c r="R44" s="92"/>
      <c r="S44" s="5"/>
      <c r="T44" s="5"/>
      <c r="U44" s="16"/>
      <c r="V44" s="40"/>
    </row>
    <row r="45" spans="3:24" ht="18" thickBot="1" x14ac:dyDescent="0.4">
      <c r="H45" s="20" t="str">
        <f>IF(ISNUMBER(U45),IF(U45&gt;V45,P45,Q45),"")</f>
        <v/>
      </c>
      <c r="I45" s="20" t="str">
        <f>IF(ISNUMBER(U45),IF(H45=P45,Q45,P45),"")</f>
        <v/>
      </c>
      <c r="J45" s="38">
        <v>14</v>
      </c>
      <c r="K45" s="17">
        <f t="shared" si="32"/>
        <v>43846</v>
      </c>
      <c r="O45" s="89" t="s">
        <v>64</v>
      </c>
      <c r="P45" s="90" t="s">
        <v>16</v>
      </c>
      <c r="Q45" s="90" t="s">
        <v>13</v>
      </c>
      <c r="R45" s="174"/>
      <c r="S45" s="175"/>
      <c r="T45" s="176"/>
      <c r="U45" s="177"/>
      <c r="V45" s="178"/>
      <c r="W45" s="21" t="str">
        <f t="shared" ref="W45" si="33">IF(ISNUMBER(U45)*ISNUMBER(V45),IF(U45&gt;V45,ptv, IF(U45=V45,ptu,ptt)),"-")</f>
        <v>-</v>
      </c>
      <c r="X45" s="21" t="str">
        <f t="shared" ref="X45" si="34">IF(ISNUMBER(U45)*ISNUMBER(V45),IF(W45=ptv,ptt,IF(W45=ptu,ptu,ptv)),"-")</f>
        <v>-</v>
      </c>
    </row>
    <row r="46" spans="3:24" ht="15" thickBot="1" x14ac:dyDescent="0.25">
      <c r="H46" s="19" t="s">
        <v>36</v>
      </c>
      <c r="I46" s="19" t="s">
        <v>37</v>
      </c>
      <c r="J46" s="38"/>
      <c r="K46" s="17"/>
      <c r="P46" s="92"/>
      <c r="Q46" s="92"/>
      <c r="R46" s="92"/>
      <c r="S46" s="5"/>
      <c r="T46" s="5"/>
      <c r="U46" s="5"/>
      <c r="V46" s="94"/>
    </row>
    <row r="47" spans="3:24" ht="18" thickBot="1" x14ac:dyDescent="0.4">
      <c r="H47" s="20" t="str">
        <f>IF(ISNUMBER(U47),IF(U47&gt;V47,P47,Q47),"")</f>
        <v/>
      </c>
      <c r="I47" s="20" t="str">
        <f>IF(ISNUMBER(U47),IF(H47=P47,Q47,P47),"")</f>
        <v/>
      </c>
      <c r="J47" s="38">
        <v>15</v>
      </c>
      <c r="K47" s="17">
        <f t="shared" si="32"/>
        <v>43847</v>
      </c>
      <c r="O47" s="88" t="s">
        <v>175</v>
      </c>
      <c r="P47" s="90" t="s">
        <v>57</v>
      </c>
      <c r="Q47" s="90" t="s">
        <v>12</v>
      </c>
      <c r="R47" s="174"/>
      <c r="S47" s="175"/>
      <c r="T47" s="176"/>
      <c r="U47" s="177"/>
      <c r="V47" s="178"/>
      <c r="W47" s="21" t="str">
        <f t="shared" ref="W47" si="35">IF(ISNUMBER(U47)*ISNUMBER(V47),IF(U47&gt;V47,ptv, IF(U47=V47,ptu,ptt)),"-")</f>
        <v>-</v>
      </c>
      <c r="X47" s="21" t="str">
        <f t="shared" ref="X47" si="36">IF(ISNUMBER(U47)*ISNUMBER(V47),IF(W47=ptv,ptt,IF(W47=ptu,ptu,ptv)),"-")</f>
        <v>-</v>
      </c>
    </row>
  </sheetData>
  <sheetProtection sheet="1" objects="1" scenarios="1"/>
  <conditionalFormatting sqref="B14:H20">
    <cfRule type="duplicateValues" dxfId="50" priority="6"/>
    <cfRule type="expression" dxfId="49" priority="7">
      <formula>AND(MOD(B14,2)=0,ISNUMBER(B14))</formula>
    </cfRule>
  </conditionalFormatting>
  <conditionalFormatting sqref="D24:D25">
    <cfRule type="expression" dxfId="48" priority="5">
      <formula>D24=1</formula>
    </cfRule>
  </conditionalFormatting>
  <conditionalFormatting sqref="D26:D43">
    <cfRule type="expression" dxfId="47" priority="4">
      <formula>D26=1</formula>
    </cfRule>
  </conditionalFormatting>
  <conditionalFormatting sqref="L3:L9">
    <cfRule type="duplicateValues" dxfId="46" priority="3"/>
  </conditionalFormatting>
  <conditionalFormatting sqref="M3:M9">
    <cfRule type="duplicateValues" dxfId="45" priority="1"/>
  </conditionalFormatting>
  <dataValidations disablePrompts="1" count="1">
    <dataValidation type="list" allowBlank="1" showInputMessage="1" showErrorMessage="1" sqref="P45:Q45 P47:Q47" xr:uid="{00000000-0002-0000-0D00-000000000000}">
      <formula1>teams</formula1>
    </dataValidation>
  </dataValidations>
  <printOptions horizontalCentered="1"/>
  <pageMargins left="0.78740157480314965" right="0.59055118110236227" top="0.39370078740157483" bottom="0.39370078740157483" header="0.19685039370078741" footer="0.19685039370078741"/>
  <pageSetup scale="81" orientation="portrait"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grp07x2">
    <tabColor theme="7"/>
    <outlinePr showOutlineSymbols="0"/>
    <pageSetUpPr fitToPage="1"/>
  </sheetPr>
  <dimension ref="A1:X68"/>
  <sheetViews>
    <sheetView showGridLines="0" showRowColHeaders="0" showOutlineSymbols="0" zoomScaleNormal="100" zoomScaleSheetLayoutView="85" workbookViewId="0">
      <pane ySplit="22" topLeftCell="A23" activePane="bottomLeft" state="frozen"/>
      <selection activeCell="L43" sqref="L43"/>
      <selection pane="bottomLeft" activeCell="N23" sqref="N23"/>
    </sheetView>
  </sheetViews>
  <sheetFormatPr defaultColWidth="9" defaultRowHeight="12.6" outlineLevelRow="1" outlineLevelCol="1" x14ac:dyDescent="0.2"/>
  <cols>
    <col min="1" max="2" width="0" hidden="1" customWidth="1" outlineLevel="1"/>
    <col min="3" max="3" width="10.26953125" hidden="1" customWidth="1" outlineLevel="1"/>
    <col min="4" max="8" width="0" hidden="1" customWidth="1" outlineLevel="1"/>
    <col min="9" max="10" width="5.6328125" hidden="1" customWidth="1" outlineLevel="1"/>
    <col min="11" max="11" width="9.26953125" hidden="1" customWidth="1" outlineLevel="1"/>
    <col min="12" max="12" width="6.453125" hidden="1" customWidth="1" outlineLevel="1"/>
    <col min="13" max="13" width="3.6328125" hidden="1" customWidth="1" outlineLevel="1"/>
    <col min="14" max="14" width="3.6328125" customWidth="1" collapsed="1"/>
    <col min="15" max="15" width="6" style="13" customWidth="1"/>
    <col min="16" max="17" width="20.453125" style="13" customWidth="1"/>
    <col min="18" max="18" width="9.6328125" style="13" customWidth="1"/>
    <col min="19" max="19" width="8.6328125" customWidth="1"/>
    <col min="20" max="20" width="8.453125" customWidth="1"/>
    <col min="21" max="24" width="6.26953125" customWidth="1"/>
    <col min="26" max="26" width="10.7265625" bestFit="1"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9" si="0">INDEX(xTeams,A3,1)</f>
        <v>Assens</v>
      </c>
      <c r="C3" s="96">
        <f t="shared" ref="C3" ca="1" si="1">SUMIF(team1,teams,goals1)+SUMIF(team2,teams,goals2)</f>
        <v>0</v>
      </c>
      <c r="D3" s="96">
        <f t="shared" ref="D3" ca="1" si="2">SUMIF(team1,teams,goals2)+SUMIF(team2,teams,goals1)</f>
        <v>0</v>
      </c>
      <c r="E3" s="104">
        <f t="shared" ref="E3:E9" ca="1" si="3">SUMIFS(
   points1,team1,teams
) +
  SUMIFS(points2,team2,teams)</f>
        <v>0</v>
      </c>
      <c r="F3" s="96">
        <f t="shared" ref="F3:F9" ca="1" si="4">C3-D3</f>
        <v>0</v>
      </c>
      <c r="G3" s="96">
        <f t="shared" ref="G3:G9" ca="1" si="5">COUNTIFS(team1,$B3,points1,"&gt;=0")+COUNTIFS(team2,$B3,points2,"&gt;=0")</f>
        <v>0</v>
      </c>
      <c r="H3" s="105">
        <f ca="1">IF(G3=0,1,0)</f>
        <v>1</v>
      </c>
      <c r="I3" s="105">
        <f ca="1">RANK($E3,$E$3:$E$9,0)</f>
        <v>1</v>
      </c>
      <c r="J3" s="98">
        <f ca="1">RANK($F3,$F$3:$F$9,0)/10</f>
        <v>0.1</v>
      </c>
      <c r="K3" s="99">
        <f ca="1">RANK($C3,$C$3:$C$9,0)/100</f>
        <v>0.01</v>
      </c>
      <c r="L3" s="99">
        <f ca="1">SUM(H3:K3)</f>
        <v>2.11</v>
      </c>
      <c r="M3" s="96">
        <f ca="1">RANK($L3,$L$3:$L$9,1) + COUNTIF($L$3:$L3,$L3)-1</f>
        <v>1</v>
      </c>
    </row>
    <row r="4" spans="1:24" hidden="1" outlineLevel="1" x14ac:dyDescent="0.2">
      <c r="A4" s="103">
        <v>2</v>
      </c>
      <c r="B4" s="103" t="str">
        <f t="shared" si="0"/>
        <v>Bogense</v>
      </c>
      <c r="C4" s="96">
        <f t="shared" ref="C4:C9" ca="1" si="6">SUMIF(team1,teams,goals1)+SUMIF(team2,teams,goals2)</f>
        <v>0</v>
      </c>
      <c r="D4" s="96">
        <f t="shared" ref="D4:D9" ca="1" si="7">SUMIF(team1,teams,goals2)+SUMIF(team2,teams,goals1)</f>
        <v>0</v>
      </c>
      <c r="E4" s="104">
        <f t="shared" ca="1" si="3"/>
        <v>0</v>
      </c>
      <c r="F4" s="96">
        <f t="shared" ca="1" si="4"/>
        <v>0</v>
      </c>
      <c r="G4" s="96">
        <f t="shared" ca="1" si="5"/>
        <v>0</v>
      </c>
      <c r="H4" s="105">
        <f t="shared" ref="H4:H9" ca="1" si="8">IF(G4=0,1,0)</f>
        <v>1</v>
      </c>
      <c r="I4" s="105">
        <f t="shared" ref="I4:I9" ca="1" si="9">RANK($E4,$E$3:$E$11,0)</f>
        <v>2</v>
      </c>
      <c r="J4" s="98">
        <f t="shared" ref="J4:J9" ca="1" si="10">RANK($F4,$F$3:$F$11,0)/10</f>
        <v>0.1</v>
      </c>
      <c r="K4" s="99">
        <f t="shared" ref="K4:K9" ca="1" si="11">RANK($C4,$C$3:$C$11,0)/100</f>
        <v>0.01</v>
      </c>
      <c r="L4" s="99">
        <f t="shared" ref="L4:L9" ca="1" si="12">SUM(H4:K4)</f>
        <v>3.11</v>
      </c>
      <c r="M4" s="96">
        <f ca="1">RANK($L4,$L$3:$L$9,1) + COUNTIF($L$3:$L4,$L4)-1</f>
        <v>2</v>
      </c>
    </row>
    <row r="5" spans="1:24" hidden="1" outlineLevel="1" x14ac:dyDescent="0.2">
      <c r="A5" s="103">
        <v>3</v>
      </c>
      <c r="B5" s="103" t="str">
        <f t="shared" si="0"/>
        <v>Christiansfelt</v>
      </c>
      <c r="C5" s="96">
        <f t="shared" ca="1" si="6"/>
        <v>0</v>
      </c>
      <c r="D5" s="96">
        <f t="shared" ca="1" si="7"/>
        <v>0</v>
      </c>
      <c r="E5" s="104">
        <f t="shared" ca="1" si="3"/>
        <v>0</v>
      </c>
      <c r="F5" s="96">
        <f t="shared" ca="1" si="4"/>
        <v>0</v>
      </c>
      <c r="G5" s="96">
        <f t="shared" ca="1" si="5"/>
        <v>0</v>
      </c>
      <c r="H5" s="105">
        <f t="shared" ca="1" si="8"/>
        <v>1</v>
      </c>
      <c r="I5" s="105">
        <f t="shared" ca="1" si="9"/>
        <v>2</v>
      </c>
      <c r="J5" s="98">
        <f t="shared" ca="1" si="10"/>
        <v>0.1</v>
      </c>
      <c r="K5" s="99">
        <f t="shared" ca="1" si="11"/>
        <v>0.01</v>
      </c>
      <c r="L5" s="99">
        <f t="shared" ca="1" si="12"/>
        <v>3.11</v>
      </c>
      <c r="M5" s="96">
        <f ca="1">RANK($L5,$L$3:$L$9,1) + COUNTIF($L$3:$L5,$L5)-1</f>
        <v>3</v>
      </c>
    </row>
    <row r="6" spans="1:24" hidden="1" outlineLevel="1" x14ac:dyDescent="0.2">
      <c r="A6" s="103">
        <v>4</v>
      </c>
      <c r="B6" s="103" t="str">
        <f t="shared" si="0"/>
        <v>Dragør</v>
      </c>
      <c r="C6" s="96">
        <f t="shared" ca="1" si="6"/>
        <v>0</v>
      </c>
      <c r="D6" s="96">
        <f t="shared" ca="1" si="7"/>
        <v>0</v>
      </c>
      <c r="E6" s="104">
        <f t="shared" ca="1" si="3"/>
        <v>0</v>
      </c>
      <c r="F6" s="96">
        <f t="shared" ca="1" si="4"/>
        <v>0</v>
      </c>
      <c r="G6" s="96">
        <f t="shared" ca="1" si="5"/>
        <v>0</v>
      </c>
      <c r="H6" s="105">
        <f t="shared" ca="1" si="8"/>
        <v>1</v>
      </c>
      <c r="I6" s="105">
        <f t="shared" ca="1" si="9"/>
        <v>2</v>
      </c>
      <c r="J6" s="98">
        <f t="shared" ca="1" si="10"/>
        <v>0.1</v>
      </c>
      <c r="K6" s="99">
        <f t="shared" ca="1" si="11"/>
        <v>0.01</v>
      </c>
      <c r="L6" s="99">
        <f t="shared" ca="1" si="12"/>
        <v>3.11</v>
      </c>
      <c r="M6" s="96">
        <f ca="1">RANK($L6,$L$3:$L$9,1) + COUNTIF($L$3:$L6,$L6)-1</f>
        <v>4</v>
      </c>
    </row>
    <row r="7" spans="1:24" hidden="1" outlineLevel="1" x14ac:dyDescent="0.2">
      <c r="A7" s="103">
        <v>5</v>
      </c>
      <c r="B7" s="103" t="str">
        <f t="shared" si="0"/>
        <v>Ejby</v>
      </c>
      <c r="C7" s="96">
        <f t="shared" ca="1" si="6"/>
        <v>0</v>
      </c>
      <c r="D7" s="96">
        <f t="shared" ca="1" si="7"/>
        <v>0</v>
      </c>
      <c r="E7" s="104">
        <f t="shared" ca="1" si="3"/>
        <v>0</v>
      </c>
      <c r="F7" s="96">
        <f t="shared" ca="1" si="4"/>
        <v>0</v>
      </c>
      <c r="G7" s="96">
        <f t="shared" ca="1" si="5"/>
        <v>0</v>
      </c>
      <c r="H7" s="105">
        <f t="shared" ca="1" si="8"/>
        <v>1</v>
      </c>
      <c r="I7" s="105">
        <f t="shared" ca="1" si="9"/>
        <v>2</v>
      </c>
      <c r="J7" s="98">
        <f t="shared" ca="1" si="10"/>
        <v>0.1</v>
      </c>
      <c r="K7" s="99">
        <f t="shared" ca="1" si="11"/>
        <v>0.01</v>
      </c>
      <c r="L7" s="99">
        <f t="shared" ca="1" si="12"/>
        <v>3.11</v>
      </c>
      <c r="M7" s="96">
        <f ca="1">RANK($L7,$L$3:$L$9,1) + COUNTIF($L$3:$L7,$L7)-1</f>
        <v>5</v>
      </c>
    </row>
    <row r="8" spans="1:24" hidden="1" outlineLevel="1" x14ac:dyDescent="0.2">
      <c r="A8" s="103">
        <v>6</v>
      </c>
      <c r="B8" s="103" t="str">
        <f t="shared" si="0"/>
        <v>Fjerritslev</v>
      </c>
      <c r="C8" s="96">
        <f t="shared" ca="1" si="6"/>
        <v>0</v>
      </c>
      <c r="D8" s="96">
        <f t="shared" ca="1" si="7"/>
        <v>0</v>
      </c>
      <c r="E8" s="104">
        <f t="shared" ca="1" si="3"/>
        <v>0</v>
      </c>
      <c r="F8" s="96">
        <f t="shared" ca="1" si="4"/>
        <v>0</v>
      </c>
      <c r="G8" s="96">
        <f t="shared" ca="1" si="5"/>
        <v>0</v>
      </c>
      <c r="H8" s="105">
        <f t="shared" ca="1" si="8"/>
        <v>1</v>
      </c>
      <c r="I8" s="105">
        <f t="shared" ca="1" si="9"/>
        <v>2</v>
      </c>
      <c r="J8" s="98">
        <f t="shared" ca="1" si="10"/>
        <v>0.1</v>
      </c>
      <c r="K8" s="99">
        <f t="shared" ca="1" si="11"/>
        <v>0.01</v>
      </c>
      <c r="L8" s="99">
        <f t="shared" ca="1" si="12"/>
        <v>3.11</v>
      </c>
      <c r="M8" s="96">
        <f ca="1">RANK($L8,$L$3:$L$9,1) + COUNTIF($L$3:$L8,$L8)-1</f>
        <v>6</v>
      </c>
    </row>
    <row r="9" spans="1:24" hidden="1" outlineLevel="1" x14ac:dyDescent="0.2">
      <c r="A9" s="103">
        <v>7</v>
      </c>
      <c r="B9" s="103" t="str">
        <f t="shared" si="0"/>
        <v>Glamsbjerg</v>
      </c>
      <c r="C9" s="96">
        <f t="shared" ca="1" si="6"/>
        <v>0</v>
      </c>
      <c r="D9" s="96">
        <f t="shared" ca="1" si="7"/>
        <v>0</v>
      </c>
      <c r="E9" s="104">
        <f t="shared" ca="1" si="3"/>
        <v>0</v>
      </c>
      <c r="F9" s="96">
        <f t="shared" ca="1" si="4"/>
        <v>0</v>
      </c>
      <c r="G9" s="96">
        <f t="shared" ca="1" si="5"/>
        <v>0</v>
      </c>
      <c r="H9" s="105">
        <f t="shared" ca="1" si="8"/>
        <v>1</v>
      </c>
      <c r="I9" s="105">
        <f t="shared" ca="1" si="9"/>
        <v>2</v>
      </c>
      <c r="J9" s="98">
        <f t="shared" ca="1" si="10"/>
        <v>0.1</v>
      </c>
      <c r="K9" s="99">
        <f t="shared" ca="1" si="11"/>
        <v>0.01</v>
      </c>
      <c r="L9" s="99">
        <f t="shared" ca="1" si="12"/>
        <v>3.11</v>
      </c>
      <c r="M9" s="96">
        <f ca="1">RANK($L9,$L$3:$L$9,1) + COUNTIF($L$3:$L9,$L9)-1</f>
        <v>7</v>
      </c>
    </row>
    <row r="10" spans="1:24" ht="13.2" collapsed="1" thickBot="1" x14ac:dyDescent="0.25">
      <c r="O10"/>
      <c r="P10"/>
      <c r="Q10"/>
      <c r="R10"/>
    </row>
    <row r="11" spans="1:24" s="4" customFormat="1" ht="24" thickBot="1" x14ac:dyDescent="0.5">
      <c r="A11" s="42" t="s">
        <v>168</v>
      </c>
      <c r="B11" s="97">
        <v>7</v>
      </c>
      <c r="C11" s="72"/>
      <c r="D11" s="73" t="s">
        <v>65</v>
      </c>
      <c r="E11" s="97">
        <f>(B11/2)*(B11-1)</f>
        <v>21</v>
      </c>
      <c r="F11"/>
      <c r="G11"/>
      <c r="H11"/>
      <c r="O11" s="75" t="str">
        <f>TurneringsNavn</f>
        <v>Forårsstævne</v>
      </c>
      <c r="P11" s="5"/>
      <c r="Q11" s="5"/>
      <c r="R11" s="5"/>
      <c r="S11" s="5"/>
      <c r="T11" s="5"/>
      <c r="U11" s="5"/>
      <c r="V11" s="5"/>
      <c r="W11" s="5"/>
      <c r="X11" s="5"/>
    </row>
    <row r="12" spans="1:24" ht="6.75" customHeight="1" x14ac:dyDescent="0.2">
      <c r="M12" s="4"/>
      <c r="O12"/>
      <c r="P12"/>
      <c r="Q12"/>
      <c r="R12"/>
    </row>
    <row r="13" spans="1:24" ht="13.8" x14ac:dyDescent="0.25">
      <c r="A13" s="35" t="s">
        <v>200</v>
      </c>
      <c r="B13" s="35" t="s">
        <v>66</v>
      </c>
      <c r="C13" s="35" t="s">
        <v>67</v>
      </c>
      <c r="D13" s="35" t="s">
        <v>68</v>
      </c>
      <c r="E13" s="35" t="s">
        <v>69</v>
      </c>
      <c r="F13" s="35" t="s">
        <v>70</v>
      </c>
      <c r="G13" s="35" t="s">
        <v>71</v>
      </c>
      <c r="H13" s="35" t="s">
        <v>72</v>
      </c>
      <c r="I13" s="7" t="s">
        <v>2</v>
      </c>
      <c r="J13" s="6" t="s">
        <v>3</v>
      </c>
      <c r="K13" s="6" t="s">
        <v>4</v>
      </c>
      <c r="L13" s="6" t="s">
        <v>167</v>
      </c>
      <c r="M13" s="4"/>
      <c r="O13" s="128" t="s">
        <v>198</v>
      </c>
      <c r="P13" s="129" t="s">
        <v>176</v>
      </c>
      <c r="Q13" s="129"/>
      <c r="R13" s="130" t="s">
        <v>5</v>
      </c>
      <c r="S13" s="128" t="s">
        <v>6</v>
      </c>
      <c r="T13" s="128" t="s">
        <v>7</v>
      </c>
      <c r="U13" s="128" t="s">
        <v>8</v>
      </c>
      <c r="V13" s="128" t="s">
        <v>9</v>
      </c>
      <c r="W13" s="128" t="s">
        <v>10</v>
      </c>
      <c r="X13" s="131" t="s">
        <v>177</v>
      </c>
    </row>
    <row r="14" spans="1:24" ht="17.399999999999999" x14ac:dyDescent="0.35">
      <c r="A14" s="35" t="s">
        <v>66</v>
      </c>
      <c r="B14" s="36"/>
      <c r="C14" s="9">
        <v>19</v>
      </c>
      <c r="D14" s="9">
        <v>37</v>
      </c>
      <c r="E14" s="9">
        <v>13</v>
      </c>
      <c r="F14" s="9">
        <v>31</v>
      </c>
      <c r="G14" s="9">
        <v>7</v>
      </c>
      <c r="H14" s="9">
        <v>25</v>
      </c>
      <c r="I14" s="10" t="str">
        <f ca="1">IFERROR(CHOOSE((P14=H$68)*1+(P14=I$68)*2+(P14=H$66)*3,"Guld","Sølv","Bronze"),"")</f>
        <v/>
      </c>
      <c r="J14" s="11">
        <f t="shared" ref="J14:J20" ca="1" si="13">COUNTIF(team1,$B3)</f>
        <v>6</v>
      </c>
      <c r="K14" s="11">
        <f t="shared" ref="K14:K20" ca="1" si="14">COUNTIF(team2,$B3)</f>
        <v>6</v>
      </c>
      <c r="L14" s="11">
        <f t="shared" ref="L14:L20" ca="1" si="15">SUM(J14:K14)</f>
        <v>12</v>
      </c>
      <c r="M14" s="4"/>
      <c r="O14" s="119">
        <v>1</v>
      </c>
      <c r="P14" s="120" t="str">
        <f ca="1" xml:space="preserve">  INDEX(teams,MATCH(teamNum,actRank,0))</f>
        <v>Assens</v>
      </c>
      <c r="Q14" s="120"/>
      <c r="R14" s="127">
        <f t="shared" ref="R14:R20" ca="1" si="16">COUNTIFS(team1,teamName,points1,"&gt;=0")+COUNTIFS(team2,teamName,points2,"&gt;=0")</f>
        <v>0</v>
      </c>
      <c r="S14" s="143">
        <f t="shared" ref="S14:S20" ca="1" si="17">COUNTIFS(team1,teamName,points1,ptv)+COUNTIFS(team2,teamName,points2,ptv)</f>
        <v>0</v>
      </c>
      <c r="T14" s="121">
        <f t="shared" ref="T14:T20" ca="1" si="18">COUNTIFS(team1,teamName,points1,ptu)+COUNTIFS(team2,teamName,points2,ptu)</f>
        <v>0</v>
      </c>
      <c r="U14" s="121">
        <f t="shared" ref="U14:U20" ca="1" si="19">COUNTIFS(team1,teamName,points1,ptt)+COUNTIFS(team2,teamName,points2,ptt)</f>
        <v>0</v>
      </c>
      <c r="V14" s="143">
        <f t="shared" ref="V14:V20" ca="1" si="20">SUMIF(team1,teamName,goals1)+SUMIF(team2,teamName,goals2)</f>
        <v>0</v>
      </c>
      <c r="W14" s="121">
        <f t="shared" ref="W14:W20" ca="1" si="21">SUMIF(team1,teamName,goals2)+SUMIF(team2,teamName,goals1)</f>
        <v>0</v>
      </c>
      <c r="X14" s="144">
        <f t="shared" ref="X14:X20" ca="1" si="22">SUMIFS(points1,team1,teamName)+SUMIFS(points2,team2,teamName)</f>
        <v>0</v>
      </c>
    </row>
    <row r="15" spans="1:24" ht="17.399999999999999" x14ac:dyDescent="0.35">
      <c r="A15" s="35" t="s">
        <v>67</v>
      </c>
      <c r="B15" s="9">
        <v>40</v>
      </c>
      <c r="C15" s="36"/>
      <c r="D15" s="9">
        <v>9</v>
      </c>
      <c r="E15" s="9">
        <v>38</v>
      </c>
      <c r="F15" s="9">
        <v>5</v>
      </c>
      <c r="G15" s="9">
        <v>36</v>
      </c>
      <c r="H15" s="9">
        <v>1</v>
      </c>
      <c r="I15" s="10" t="str">
        <f ca="1">IFERROR(CHOOSE((P15=H$68)*1+(P15=I$68)*2+(P15=H$66)*3,"Guld","Sølv","Bronze"),"")</f>
        <v/>
      </c>
      <c r="J15" s="11">
        <f t="shared" ca="1" si="13"/>
        <v>6</v>
      </c>
      <c r="K15" s="11">
        <f t="shared" ca="1" si="14"/>
        <v>6</v>
      </c>
      <c r="L15" s="11">
        <f t="shared" ca="1" si="15"/>
        <v>12</v>
      </c>
      <c r="M15" s="4"/>
      <c r="O15" s="119">
        <v>2</v>
      </c>
      <c r="P15" s="120" t="str">
        <f t="shared" ref="P15:P20" ca="1" si="23" xml:space="preserve">  INDEX(teams,MATCH(teamNum,actRank,0))</f>
        <v>Bogense</v>
      </c>
      <c r="Q15" s="120"/>
      <c r="R15" s="127">
        <f t="shared" ca="1" si="16"/>
        <v>0</v>
      </c>
      <c r="S15" s="143">
        <f t="shared" ca="1" si="17"/>
        <v>0</v>
      </c>
      <c r="T15" s="121">
        <f t="shared" ca="1" si="18"/>
        <v>0</v>
      </c>
      <c r="U15" s="121">
        <f t="shared" ca="1" si="19"/>
        <v>0</v>
      </c>
      <c r="V15" s="143">
        <f t="shared" ca="1" si="20"/>
        <v>0</v>
      </c>
      <c r="W15" s="121">
        <f t="shared" ca="1" si="21"/>
        <v>0</v>
      </c>
      <c r="X15" s="144">
        <f t="shared" ca="1" si="22"/>
        <v>0</v>
      </c>
    </row>
    <row r="16" spans="1:24" ht="17.399999999999999" x14ac:dyDescent="0.35">
      <c r="A16" s="35" t="s">
        <v>68</v>
      </c>
      <c r="B16" s="9">
        <v>16</v>
      </c>
      <c r="C16" s="9">
        <v>30</v>
      </c>
      <c r="D16" s="36"/>
      <c r="E16" s="9">
        <v>6</v>
      </c>
      <c r="F16" s="9">
        <v>35</v>
      </c>
      <c r="G16" s="9">
        <v>2</v>
      </c>
      <c r="H16" s="9">
        <v>33</v>
      </c>
      <c r="I16" s="10" t="str">
        <f ca="1">IFERROR(CHOOSE((P16=H$68)*1+(P16=I$68)*2+(P16=H$66)*3,"Guld","Sølv","Bronze"),"")</f>
        <v/>
      </c>
      <c r="J16" s="11">
        <f t="shared" ca="1" si="13"/>
        <v>6</v>
      </c>
      <c r="K16" s="11">
        <f t="shared" ca="1" si="14"/>
        <v>6</v>
      </c>
      <c r="L16" s="11">
        <f t="shared" ca="1" si="15"/>
        <v>12</v>
      </c>
      <c r="M16" s="4"/>
      <c r="O16" s="119">
        <v>3</v>
      </c>
      <c r="P16" s="120" t="str">
        <f t="shared" ca="1" si="23"/>
        <v>Christiansfelt</v>
      </c>
      <c r="Q16" s="120"/>
      <c r="R16" s="127">
        <f t="shared" ca="1" si="16"/>
        <v>0</v>
      </c>
      <c r="S16" s="143">
        <f t="shared" ca="1" si="17"/>
        <v>0</v>
      </c>
      <c r="T16" s="121">
        <f t="shared" ca="1" si="18"/>
        <v>0</v>
      </c>
      <c r="U16" s="121">
        <f t="shared" ca="1" si="19"/>
        <v>0</v>
      </c>
      <c r="V16" s="143">
        <f t="shared" ca="1" si="20"/>
        <v>0</v>
      </c>
      <c r="W16" s="121">
        <f t="shared" ca="1" si="21"/>
        <v>0</v>
      </c>
      <c r="X16" s="144">
        <f t="shared" ca="1" si="22"/>
        <v>0</v>
      </c>
    </row>
    <row r="17" spans="1:24" ht="17.399999999999999" x14ac:dyDescent="0.35">
      <c r="A17" s="35" t="s">
        <v>69</v>
      </c>
      <c r="B17" s="9">
        <v>34</v>
      </c>
      <c r="C17" s="9">
        <v>17</v>
      </c>
      <c r="D17" s="9">
        <v>27</v>
      </c>
      <c r="E17" s="36"/>
      <c r="F17" s="9">
        <v>3</v>
      </c>
      <c r="G17" s="9">
        <v>32</v>
      </c>
      <c r="H17" s="9">
        <v>20</v>
      </c>
      <c r="I17" s="10" t="str">
        <f ca="1">IFERROR(CHOOSE((P17=H$68)*1+(P17=I$68)*2+(P17=H$66)*3,"Guld","Sølv","Bronze"),"")</f>
        <v/>
      </c>
      <c r="J17" s="11">
        <f t="shared" ca="1" si="13"/>
        <v>6</v>
      </c>
      <c r="K17" s="11">
        <f t="shared" ca="1" si="14"/>
        <v>6</v>
      </c>
      <c r="L17" s="11">
        <f t="shared" ca="1" si="15"/>
        <v>12</v>
      </c>
      <c r="M17" s="4"/>
      <c r="O17" s="119">
        <v>4</v>
      </c>
      <c r="P17" s="120" t="str">
        <f t="shared" ca="1" si="23"/>
        <v>Dragør</v>
      </c>
      <c r="Q17" s="120"/>
      <c r="R17" s="127">
        <f t="shared" ca="1" si="16"/>
        <v>0</v>
      </c>
      <c r="S17" s="143">
        <f t="shared" ca="1" si="17"/>
        <v>0</v>
      </c>
      <c r="T17" s="121">
        <f t="shared" ca="1" si="18"/>
        <v>0</v>
      </c>
      <c r="U17" s="121">
        <f t="shared" ca="1" si="19"/>
        <v>0</v>
      </c>
      <c r="V17" s="143">
        <f t="shared" ca="1" si="20"/>
        <v>0</v>
      </c>
      <c r="W17" s="121">
        <f t="shared" ca="1" si="21"/>
        <v>0</v>
      </c>
      <c r="X17" s="144">
        <f t="shared" ca="1" si="22"/>
        <v>0</v>
      </c>
    </row>
    <row r="18" spans="1:24" ht="17.399999999999999" x14ac:dyDescent="0.35">
      <c r="A18" s="35" t="s">
        <v>70</v>
      </c>
      <c r="B18" s="9">
        <v>10</v>
      </c>
      <c r="C18" s="9">
        <v>26</v>
      </c>
      <c r="D18" s="9">
        <v>14</v>
      </c>
      <c r="E18" s="9">
        <v>24</v>
      </c>
      <c r="F18" s="36"/>
      <c r="G18" s="9">
        <v>21</v>
      </c>
      <c r="H18" s="9">
        <v>29</v>
      </c>
      <c r="I18" s="10" t="str">
        <f ca="1">IFERROR(CHOOSE((P18=H$68)*1+(P18=I$68)*2+(P18=H$66)*3,"Guld","Sølv","Bronze"),"")</f>
        <v/>
      </c>
      <c r="J18" s="11">
        <f t="shared" ca="1" si="13"/>
        <v>6</v>
      </c>
      <c r="K18" s="11">
        <f t="shared" ca="1" si="14"/>
        <v>6</v>
      </c>
      <c r="L18" s="11">
        <f t="shared" ca="1" si="15"/>
        <v>12</v>
      </c>
      <c r="M18" s="4"/>
      <c r="O18" s="119">
        <v>5</v>
      </c>
      <c r="P18" s="120" t="str">
        <f t="shared" ca="1" si="23"/>
        <v>Ejby</v>
      </c>
      <c r="Q18" s="120"/>
      <c r="R18" s="127">
        <f t="shared" ca="1" si="16"/>
        <v>0</v>
      </c>
      <c r="S18" s="143">
        <f t="shared" ca="1" si="17"/>
        <v>0</v>
      </c>
      <c r="T18" s="121">
        <f t="shared" ca="1" si="18"/>
        <v>0</v>
      </c>
      <c r="U18" s="121">
        <f t="shared" ca="1" si="19"/>
        <v>0</v>
      </c>
      <c r="V18" s="143">
        <f t="shared" ca="1" si="20"/>
        <v>0</v>
      </c>
      <c r="W18" s="121">
        <f t="shared" ca="1" si="21"/>
        <v>0</v>
      </c>
      <c r="X18" s="144">
        <f t="shared" ca="1" si="22"/>
        <v>0</v>
      </c>
    </row>
    <row r="19" spans="1:24" ht="17.399999999999999" x14ac:dyDescent="0.35">
      <c r="A19" s="35" t="s">
        <v>71</v>
      </c>
      <c r="B19" s="9">
        <v>28</v>
      </c>
      <c r="C19" s="9">
        <v>15</v>
      </c>
      <c r="D19" s="9">
        <v>23</v>
      </c>
      <c r="E19" s="9">
        <v>11</v>
      </c>
      <c r="F19" s="9">
        <v>42</v>
      </c>
      <c r="G19" s="36"/>
      <c r="H19" s="9">
        <v>18</v>
      </c>
      <c r="I19" s="10"/>
      <c r="J19" s="11">
        <f t="shared" ca="1" si="13"/>
        <v>6</v>
      </c>
      <c r="K19" s="11">
        <f t="shared" ca="1" si="14"/>
        <v>6</v>
      </c>
      <c r="L19" s="11">
        <f t="shared" ca="1" si="15"/>
        <v>12</v>
      </c>
      <c r="M19" s="4"/>
      <c r="O19" s="119">
        <v>6</v>
      </c>
      <c r="P19" s="120" t="str">
        <f t="shared" ca="1" si="23"/>
        <v>Fjerritslev</v>
      </c>
      <c r="Q19" s="120"/>
      <c r="R19" s="127">
        <f t="shared" ca="1" si="16"/>
        <v>0</v>
      </c>
      <c r="S19" s="143">
        <f t="shared" ca="1" si="17"/>
        <v>0</v>
      </c>
      <c r="T19" s="121">
        <f t="shared" ca="1" si="18"/>
        <v>0</v>
      </c>
      <c r="U19" s="121">
        <f t="shared" ca="1" si="19"/>
        <v>0</v>
      </c>
      <c r="V19" s="143">
        <f t="shared" ca="1" si="20"/>
        <v>0</v>
      </c>
      <c r="W19" s="121">
        <f t="shared" ca="1" si="21"/>
        <v>0</v>
      </c>
      <c r="X19" s="144">
        <f t="shared" ca="1" si="22"/>
        <v>0</v>
      </c>
    </row>
    <row r="20" spans="1:24" ht="17.399999999999999" x14ac:dyDescent="0.35">
      <c r="A20" s="35" t="s">
        <v>72</v>
      </c>
      <c r="B20" s="9">
        <v>4</v>
      </c>
      <c r="C20" s="9">
        <v>22</v>
      </c>
      <c r="D20" s="9">
        <v>12</v>
      </c>
      <c r="E20" s="9">
        <v>41</v>
      </c>
      <c r="F20" s="9">
        <v>8</v>
      </c>
      <c r="G20" s="9">
        <v>39</v>
      </c>
      <c r="H20" s="36"/>
      <c r="I20" s="10" t="str">
        <f ca="1">IFERROR(CHOOSE((P19=H$68)*1+(P19=I$68)*2+(P19=H$66)*3,"Guld","Sølv","Bronze"),"")</f>
        <v/>
      </c>
      <c r="J20" s="11">
        <f t="shared" ca="1" si="13"/>
        <v>6</v>
      </c>
      <c r="K20" s="11">
        <f t="shared" ca="1" si="14"/>
        <v>6</v>
      </c>
      <c r="L20" s="11">
        <f t="shared" ca="1" si="15"/>
        <v>12</v>
      </c>
      <c r="M20" s="4"/>
      <c r="O20" s="119">
        <v>7</v>
      </c>
      <c r="P20" s="120" t="str">
        <f t="shared" ca="1" si="23"/>
        <v>Glamsbjerg</v>
      </c>
      <c r="Q20" s="120"/>
      <c r="R20" s="127">
        <f t="shared" ca="1" si="16"/>
        <v>0</v>
      </c>
      <c r="S20" s="143">
        <f t="shared" ca="1" si="17"/>
        <v>0</v>
      </c>
      <c r="T20" s="121">
        <f t="shared" ca="1" si="18"/>
        <v>0</v>
      </c>
      <c r="U20" s="121">
        <f t="shared" ca="1" si="19"/>
        <v>0</v>
      </c>
      <c r="V20" s="143">
        <f t="shared" ca="1" si="20"/>
        <v>0</v>
      </c>
      <c r="W20" s="121">
        <f t="shared" ca="1" si="21"/>
        <v>0</v>
      </c>
      <c r="X20" s="144">
        <f t="shared" ca="1" si="22"/>
        <v>0</v>
      </c>
    </row>
    <row r="21" spans="1:24" ht="12" customHeight="1" x14ac:dyDescent="0.2">
      <c r="A21" s="6"/>
      <c r="B21" s="37"/>
      <c r="C21" s="37"/>
      <c r="D21" s="37"/>
      <c r="E21" s="37"/>
      <c r="F21" s="37"/>
      <c r="G21" s="37"/>
      <c r="H21" s="37"/>
      <c r="I21" s="37"/>
      <c r="J21" s="11"/>
      <c r="K21" s="11"/>
      <c r="L21" s="11"/>
      <c r="M21" s="4"/>
      <c r="O21"/>
      <c r="P21"/>
      <c r="Q21"/>
      <c r="R21"/>
    </row>
    <row r="22" spans="1:24" s="12" customFormat="1" ht="15" thickBot="1" x14ac:dyDescent="0.35">
      <c r="B22"/>
      <c r="C22" s="44" t="s">
        <v>17</v>
      </c>
      <c r="D22" s="45" t="s">
        <v>18</v>
      </c>
      <c r="E22" s="46" t="s">
        <v>19</v>
      </c>
      <c r="F22" s="47" t="s">
        <v>20</v>
      </c>
      <c r="G22" s="47" t="s">
        <v>21</v>
      </c>
      <c r="H22" s="47" t="s">
        <v>22</v>
      </c>
      <c r="I22" s="47" t="s">
        <v>23</v>
      </c>
      <c r="J22" s="48" t="s">
        <v>24</v>
      </c>
      <c r="K22" s="49" t="s">
        <v>25</v>
      </c>
      <c r="L22"/>
      <c r="M22" s="4"/>
      <c r="O22" s="140" t="s">
        <v>5</v>
      </c>
      <c r="P22" s="139" t="s">
        <v>26</v>
      </c>
      <c r="Q22" s="139" t="s">
        <v>27</v>
      </c>
      <c r="R22" s="179" t="s">
        <v>25</v>
      </c>
      <c r="S22" s="179" t="s">
        <v>196</v>
      </c>
      <c r="T22" s="179" t="s">
        <v>195</v>
      </c>
      <c r="U22" s="180" t="s">
        <v>193</v>
      </c>
      <c r="V22" s="180" t="s">
        <v>194</v>
      </c>
      <c r="W22" s="138" t="s">
        <v>32</v>
      </c>
      <c r="X22" s="138" t="s">
        <v>32</v>
      </c>
    </row>
    <row r="23" spans="1:24" ht="17.399999999999999" x14ac:dyDescent="0.35">
      <c r="C23" s="50" t="s">
        <v>83</v>
      </c>
      <c r="D23" s="51"/>
      <c r="E23" s="50">
        <v>1</v>
      </c>
      <c r="F23" s="52">
        <f t="shared" ref="F23:F64" si="24">SUMPRODUCT((HxA=$E23)*(COLUMN(HxA)))-COLUMN(HxA)+1</f>
        <v>8</v>
      </c>
      <c r="G23" s="52">
        <f t="shared" ref="G23:G64" si="25">SUMPRODUCT((HxA=$E23)*(ROW(HxA)))-ROW(HxA)+1</f>
        <v>3</v>
      </c>
      <c r="H23" s="53" t="str">
        <f t="shared" ref="H23:H51" si="26">INDEX(HxA,G23,1)</f>
        <v>T_02</v>
      </c>
      <c r="I23" s="53" t="str">
        <f t="shared" ref="I23:I64" si="27">INDEX(HxA,1,F23)</f>
        <v>T_07</v>
      </c>
      <c r="J23" s="54"/>
      <c r="K23" s="55">
        <v>43832</v>
      </c>
      <c r="L23" s="12"/>
      <c r="M23" s="12"/>
      <c r="O23" s="122">
        <v>1</v>
      </c>
      <c r="P23" s="122" t="str">
        <f t="shared" ref="P23:Q64" ca="1" si="28">INDIRECT(H23)</f>
        <v>Bogense</v>
      </c>
      <c r="Q23" s="122" t="str">
        <f t="shared" ca="1" si="28"/>
        <v>Glamsbjerg</v>
      </c>
      <c r="R23" s="161"/>
      <c r="S23" s="162" t="s">
        <v>33</v>
      </c>
      <c r="T23" s="163"/>
      <c r="U23" s="164"/>
      <c r="V23" s="165"/>
      <c r="W23" s="121" t="str">
        <f t="shared" ref="W23:W51" si="29">IF(ISNUMBER(U23)*ISNUMBER(V23),IF(U23&gt;V23,ptv, IF(U23=V23,ptu,ptt)),"-")</f>
        <v>-</v>
      </c>
      <c r="X23" s="121" t="str">
        <f t="shared" ref="X23:X51" si="30">IF(ISNUMBER(U23)*ISNUMBER(V23),IF(W23=ptv,ptt,IF(W23=ptu,ptu,ptv)),"-")</f>
        <v>-</v>
      </c>
    </row>
    <row r="24" spans="1:24" ht="17.399999999999999" x14ac:dyDescent="0.35">
      <c r="C24" s="56" t="s">
        <v>84</v>
      </c>
      <c r="D24" s="57">
        <f t="shared" ref="D24:D64" si="31">OR(H24=H23,H24=I23,I24=H23,I24=I23)*1</f>
        <v>0</v>
      </c>
      <c r="E24" s="56">
        <v>2</v>
      </c>
      <c r="F24" s="58">
        <f t="shared" si="24"/>
        <v>7</v>
      </c>
      <c r="G24" s="58">
        <f t="shared" si="25"/>
        <v>4</v>
      </c>
      <c r="H24" s="59" t="str">
        <f t="shared" si="26"/>
        <v>T_03</v>
      </c>
      <c r="I24" s="59" t="str">
        <f t="shared" si="27"/>
        <v>T_06</v>
      </c>
      <c r="J24" s="59">
        <v>0</v>
      </c>
      <c r="K24" s="60">
        <f>$K$23+J24</f>
        <v>43832</v>
      </c>
      <c r="O24" s="122">
        <v>2</v>
      </c>
      <c r="P24" s="122" t="str">
        <f t="shared" ca="1" si="28"/>
        <v>Christiansfelt</v>
      </c>
      <c r="Q24" s="122" t="str">
        <f t="shared" ca="1" si="28"/>
        <v>Fjerritslev</v>
      </c>
      <c r="R24" s="134"/>
      <c r="S24" s="123" t="str">
        <f>IFERROR(S23+mMin,"-")</f>
        <v>-</v>
      </c>
      <c r="T24" s="146"/>
      <c r="U24" s="147"/>
      <c r="V24" s="148"/>
      <c r="W24" s="121" t="str">
        <f t="shared" si="29"/>
        <v>-</v>
      </c>
      <c r="X24" s="121" t="str">
        <f t="shared" si="30"/>
        <v>-</v>
      </c>
    </row>
    <row r="25" spans="1:24" ht="18" thickBot="1" x14ac:dyDescent="0.4">
      <c r="C25" s="56" t="s">
        <v>85</v>
      </c>
      <c r="D25" s="57">
        <f t="shared" si="31"/>
        <v>0</v>
      </c>
      <c r="E25" s="56">
        <v>3</v>
      </c>
      <c r="F25" s="58">
        <f t="shared" si="24"/>
        <v>6</v>
      </c>
      <c r="G25" s="58">
        <f t="shared" si="25"/>
        <v>5</v>
      </c>
      <c r="H25" s="59" t="str">
        <f t="shared" si="26"/>
        <v>T_04</v>
      </c>
      <c r="I25" s="59" t="str">
        <f t="shared" si="27"/>
        <v>T_05</v>
      </c>
      <c r="J25" s="59">
        <v>0</v>
      </c>
      <c r="K25" s="60">
        <f>$K$23+J25</f>
        <v>43832</v>
      </c>
      <c r="O25" s="124">
        <v>3</v>
      </c>
      <c r="P25" s="124" t="str">
        <f t="shared" ca="1" si="28"/>
        <v>Dragør</v>
      </c>
      <c r="Q25" s="124" t="str">
        <f t="shared" ca="1" si="28"/>
        <v>Ejby</v>
      </c>
      <c r="R25" s="135"/>
      <c r="S25" s="125" t="str">
        <f>IFERROR(S24+mMin,"-")</f>
        <v>-</v>
      </c>
      <c r="T25" s="149"/>
      <c r="U25" s="150"/>
      <c r="V25" s="151"/>
      <c r="W25" s="126" t="str">
        <f t="shared" si="29"/>
        <v>-</v>
      </c>
      <c r="X25" s="126" t="str">
        <f t="shared" si="30"/>
        <v>-</v>
      </c>
    </row>
    <row r="26" spans="1:24" ht="17.399999999999999" x14ac:dyDescent="0.35">
      <c r="C26" s="56" t="s">
        <v>91</v>
      </c>
      <c r="D26" s="57">
        <f t="shared" si="31"/>
        <v>0</v>
      </c>
      <c r="E26" s="56">
        <v>4</v>
      </c>
      <c r="F26" s="58">
        <f t="shared" si="24"/>
        <v>2</v>
      </c>
      <c r="G26" s="58">
        <f t="shared" si="25"/>
        <v>8</v>
      </c>
      <c r="H26" s="59" t="str">
        <f t="shared" si="26"/>
        <v>T_07</v>
      </c>
      <c r="I26" s="59" t="str">
        <f t="shared" si="27"/>
        <v>T_01</v>
      </c>
      <c r="J26" s="59">
        <v>1</v>
      </c>
      <c r="K26" s="60">
        <f t="shared" ref="K26:K68" si="32">$K$23+J26</f>
        <v>43833</v>
      </c>
      <c r="O26" s="160">
        <v>4</v>
      </c>
      <c r="P26" s="160" t="str">
        <f t="shared" ca="1" si="28"/>
        <v>Glamsbjerg</v>
      </c>
      <c r="Q26" s="160" t="str">
        <f t="shared" ca="1" si="28"/>
        <v>Assens</v>
      </c>
      <c r="R26" s="161"/>
      <c r="S26" s="162" t="s">
        <v>33</v>
      </c>
      <c r="T26" s="163"/>
      <c r="U26" s="164"/>
      <c r="V26" s="165"/>
      <c r="W26" s="166" t="str">
        <f t="shared" si="29"/>
        <v>-</v>
      </c>
      <c r="X26" s="166" t="str">
        <f t="shared" si="30"/>
        <v>-</v>
      </c>
    </row>
    <row r="27" spans="1:24" ht="17.399999999999999" x14ac:dyDescent="0.35">
      <c r="C27" s="56" t="s">
        <v>89</v>
      </c>
      <c r="D27" s="57">
        <f t="shared" si="31"/>
        <v>0</v>
      </c>
      <c r="E27" s="56">
        <v>5</v>
      </c>
      <c r="F27" s="58">
        <f t="shared" si="24"/>
        <v>6</v>
      </c>
      <c r="G27" s="58">
        <f t="shared" si="25"/>
        <v>3</v>
      </c>
      <c r="H27" s="59" t="str">
        <f t="shared" si="26"/>
        <v>T_02</v>
      </c>
      <c r="I27" s="59" t="str">
        <f t="shared" si="27"/>
        <v>T_05</v>
      </c>
      <c r="J27" s="59">
        <v>1</v>
      </c>
      <c r="K27" s="60">
        <f t="shared" si="32"/>
        <v>43833</v>
      </c>
      <c r="O27" s="122">
        <v>5</v>
      </c>
      <c r="P27" s="122" t="str">
        <f t="shared" ca="1" si="28"/>
        <v>Bogense</v>
      </c>
      <c r="Q27" s="122" t="str">
        <f t="shared" ca="1" si="28"/>
        <v>Ejby</v>
      </c>
      <c r="R27" s="134"/>
      <c r="S27" s="123" t="str">
        <f>IFERROR(S26+mMin,"-")</f>
        <v>-</v>
      </c>
      <c r="T27" s="146"/>
      <c r="U27" s="147"/>
      <c r="V27" s="148"/>
      <c r="W27" s="121" t="str">
        <f t="shared" si="29"/>
        <v>-</v>
      </c>
      <c r="X27" s="121" t="str">
        <f t="shared" si="30"/>
        <v>-</v>
      </c>
    </row>
    <row r="28" spans="1:24" ht="18" thickBot="1" x14ac:dyDescent="0.4">
      <c r="C28" s="56" t="s">
        <v>90</v>
      </c>
      <c r="D28" s="57">
        <f t="shared" si="31"/>
        <v>0</v>
      </c>
      <c r="E28" s="56">
        <v>6</v>
      </c>
      <c r="F28" s="58">
        <f t="shared" si="24"/>
        <v>5</v>
      </c>
      <c r="G28" s="58">
        <f t="shared" si="25"/>
        <v>4</v>
      </c>
      <c r="H28" s="59" t="str">
        <f t="shared" si="26"/>
        <v>T_03</v>
      </c>
      <c r="I28" s="59" t="str">
        <f t="shared" si="27"/>
        <v>T_04</v>
      </c>
      <c r="J28" s="59">
        <v>1</v>
      </c>
      <c r="K28" s="60">
        <f t="shared" si="32"/>
        <v>43833</v>
      </c>
      <c r="O28" s="124">
        <v>6</v>
      </c>
      <c r="P28" s="124" t="str">
        <f t="shared" ca="1" si="28"/>
        <v>Christiansfelt</v>
      </c>
      <c r="Q28" s="124" t="str">
        <f t="shared" ca="1" si="28"/>
        <v>Dragør</v>
      </c>
      <c r="R28" s="135"/>
      <c r="S28" s="125" t="str">
        <f>IFERROR(S27+mMin,"-")</f>
        <v>-</v>
      </c>
      <c r="T28" s="149"/>
      <c r="U28" s="150"/>
      <c r="V28" s="151"/>
      <c r="W28" s="126" t="str">
        <f t="shared" si="29"/>
        <v>-</v>
      </c>
      <c r="X28" s="126" t="str">
        <f t="shared" si="30"/>
        <v>-</v>
      </c>
    </row>
    <row r="29" spans="1:24" ht="17.399999999999999" x14ac:dyDescent="0.35">
      <c r="C29" s="56" t="s">
        <v>96</v>
      </c>
      <c r="D29" s="57">
        <f t="shared" si="31"/>
        <v>0</v>
      </c>
      <c r="E29" s="56">
        <v>7</v>
      </c>
      <c r="F29" s="58">
        <f t="shared" si="24"/>
        <v>7</v>
      </c>
      <c r="G29" s="58">
        <f t="shared" si="25"/>
        <v>2</v>
      </c>
      <c r="H29" s="59" t="str">
        <f t="shared" si="26"/>
        <v>T_01</v>
      </c>
      <c r="I29" s="59" t="str">
        <f t="shared" si="27"/>
        <v>T_06</v>
      </c>
      <c r="J29" s="59">
        <v>2</v>
      </c>
      <c r="K29" s="60">
        <f t="shared" si="32"/>
        <v>43834</v>
      </c>
      <c r="O29" s="122">
        <v>7</v>
      </c>
      <c r="P29" s="122" t="str">
        <f t="shared" ca="1" si="28"/>
        <v>Assens</v>
      </c>
      <c r="Q29" s="122" t="str">
        <f t="shared" ca="1" si="28"/>
        <v>Fjerritslev</v>
      </c>
      <c r="R29" s="134"/>
      <c r="S29" s="123" t="s">
        <v>33</v>
      </c>
      <c r="T29" s="146"/>
      <c r="U29" s="147"/>
      <c r="V29" s="148"/>
      <c r="W29" s="121" t="str">
        <f t="shared" si="29"/>
        <v>-</v>
      </c>
      <c r="X29" s="121" t="str">
        <f t="shared" si="30"/>
        <v>-</v>
      </c>
    </row>
    <row r="30" spans="1:24" ht="17.399999999999999" x14ac:dyDescent="0.35">
      <c r="C30" s="56" t="s">
        <v>97</v>
      </c>
      <c r="D30" s="57">
        <f t="shared" si="31"/>
        <v>0</v>
      </c>
      <c r="E30" s="56">
        <v>8</v>
      </c>
      <c r="F30" s="58">
        <f t="shared" si="24"/>
        <v>6</v>
      </c>
      <c r="G30" s="58">
        <f t="shared" si="25"/>
        <v>8</v>
      </c>
      <c r="H30" s="59" t="str">
        <f t="shared" si="26"/>
        <v>T_07</v>
      </c>
      <c r="I30" s="59" t="str">
        <f t="shared" si="27"/>
        <v>T_05</v>
      </c>
      <c r="J30" s="59">
        <v>2</v>
      </c>
      <c r="K30" s="60">
        <f t="shared" si="32"/>
        <v>43834</v>
      </c>
      <c r="O30" s="122">
        <v>8</v>
      </c>
      <c r="P30" s="122" t="str">
        <f t="shared" ca="1" si="28"/>
        <v>Glamsbjerg</v>
      </c>
      <c r="Q30" s="122" t="str">
        <f t="shared" ca="1" si="28"/>
        <v>Ejby</v>
      </c>
      <c r="R30" s="134"/>
      <c r="S30" s="123" t="str">
        <f>IFERROR(S29+mMin,"-")</f>
        <v>-</v>
      </c>
      <c r="T30" s="146"/>
      <c r="U30" s="147"/>
      <c r="V30" s="148"/>
      <c r="W30" s="121" t="str">
        <f t="shared" si="29"/>
        <v>-</v>
      </c>
      <c r="X30" s="121" t="str">
        <f t="shared" si="30"/>
        <v>-</v>
      </c>
    </row>
    <row r="31" spans="1:24" ht="18" thickBot="1" x14ac:dyDescent="0.4">
      <c r="C31" s="56" t="s">
        <v>95</v>
      </c>
      <c r="D31" s="57">
        <f t="shared" si="31"/>
        <v>0</v>
      </c>
      <c r="E31" s="56">
        <v>9</v>
      </c>
      <c r="F31" s="58">
        <f t="shared" si="24"/>
        <v>4</v>
      </c>
      <c r="G31" s="58">
        <f t="shared" si="25"/>
        <v>3</v>
      </c>
      <c r="H31" s="59" t="str">
        <f t="shared" si="26"/>
        <v>T_02</v>
      </c>
      <c r="I31" s="59" t="str">
        <f t="shared" si="27"/>
        <v>T_03</v>
      </c>
      <c r="J31" s="59">
        <v>2</v>
      </c>
      <c r="K31" s="60">
        <f t="shared" si="32"/>
        <v>43834</v>
      </c>
      <c r="O31" s="124">
        <v>9</v>
      </c>
      <c r="P31" s="124" t="str">
        <f t="shared" ca="1" si="28"/>
        <v>Bogense</v>
      </c>
      <c r="Q31" s="124" t="str">
        <f t="shared" ca="1" si="28"/>
        <v>Christiansfelt</v>
      </c>
      <c r="R31" s="135"/>
      <c r="S31" s="125" t="str">
        <f>IFERROR(S30+mMin,"-")</f>
        <v>-</v>
      </c>
      <c r="T31" s="149"/>
      <c r="U31" s="150"/>
      <c r="V31" s="151"/>
      <c r="W31" s="126" t="str">
        <f t="shared" si="29"/>
        <v>-</v>
      </c>
      <c r="X31" s="126" t="str">
        <f t="shared" si="30"/>
        <v>-</v>
      </c>
    </row>
    <row r="32" spans="1:24" ht="17.399999999999999" x14ac:dyDescent="0.35">
      <c r="C32" s="56" t="s">
        <v>101</v>
      </c>
      <c r="D32" s="57">
        <f t="shared" si="31"/>
        <v>0</v>
      </c>
      <c r="E32" s="56">
        <v>10</v>
      </c>
      <c r="F32" s="58">
        <f t="shared" si="24"/>
        <v>2</v>
      </c>
      <c r="G32" s="58">
        <f t="shared" si="25"/>
        <v>6</v>
      </c>
      <c r="H32" s="59" t="str">
        <f t="shared" si="26"/>
        <v>T_05</v>
      </c>
      <c r="I32" s="59" t="str">
        <f t="shared" si="27"/>
        <v>T_01</v>
      </c>
      <c r="J32" s="59">
        <v>3</v>
      </c>
      <c r="K32" s="60">
        <f t="shared" si="32"/>
        <v>43835</v>
      </c>
      <c r="O32" s="122">
        <v>10</v>
      </c>
      <c r="P32" s="122" t="str">
        <f t="shared" ca="1" si="28"/>
        <v>Ejby</v>
      </c>
      <c r="Q32" s="122" t="str">
        <f t="shared" ca="1" si="28"/>
        <v>Assens</v>
      </c>
      <c r="R32" s="134"/>
      <c r="S32" s="123" t="s">
        <v>33</v>
      </c>
      <c r="T32" s="146"/>
      <c r="U32" s="147"/>
      <c r="V32" s="148"/>
      <c r="W32" s="121" t="str">
        <f t="shared" si="29"/>
        <v>-</v>
      </c>
      <c r="X32" s="121" t="str">
        <f t="shared" si="30"/>
        <v>-</v>
      </c>
    </row>
    <row r="33" spans="3:24" ht="17.399999999999999" x14ac:dyDescent="0.35">
      <c r="C33" s="56" t="s">
        <v>102</v>
      </c>
      <c r="D33" s="57">
        <f t="shared" si="31"/>
        <v>0</v>
      </c>
      <c r="E33" s="56">
        <v>11</v>
      </c>
      <c r="F33" s="58">
        <f t="shared" si="24"/>
        <v>5</v>
      </c>
      <c r="G33" s="58">
        <f t="shared" si="25"/>
        <v>7</v>
      </c>
      <c r="H33" s="59" t="str">
        <f t="shared" si="26"/>
        <v>T_06</v>
      </c>
      <c r="I33" s="59" t="str">
        <f t="shared" si="27"/>
        <v>T_04</v>
      </c>
      <c r="J33" s="59">
        <v>3</v>
      </c>
      <c r="K33" s="60">
        <f t="shared" si="32"/>
        <v>43835</v>
      </c>
      <c r="O33" s="122">
        <v>11</v>
      </c>
      <c r="P33" s="122" t="str">
        <f t="shared" ca="1" si="28"/>
        <v>Fjerritslev</v>
      </c>
      <c r="Q33" s="122" t="str">
        <f t="shared" ca="1" si="28"/>
        <v>Dragør</v>
      </c>
      <c r="R33" s="134"/>
      <c r="S33" s="123" t="str">
        <f>IFERROR(S32+mMin,"-")</f>
        <v>-</v>
      </c>
      <c r="T33" s="146"/>
      <c r="U33" s="147"/>
      <c r="V33" s="148"/>
      <c r="W33" s="121" t="str">
        <f t="shared" si="29"/>
        <v>-</v>
      </c>
      <c r="X33" s="121" t="str">
        <f t="shared" si="30"/>
        <v>-</v>
      </c>
    </row>
    <row r="34" spans="3:24" ht="18" thickBot="1" x14ac:dyDescent="0.4">
      <c r="C34" s="56" t="s">
        <v>103</v>
      </c>
      <c r="D34" s="57">
        <f t="shared" si="31"/>
        <v>0</v>
      </c>
      <c r="E34" s="56">
        <v>12</v>
      </c>
      <c r="F34" s="58">
        <f t="shared" si="24"/>
        <v>4</v>
      </c>
      <c r="G34" s="58">
        <f t="shared" si="25"/>
        <v>8</v>
      </c>
      <c r="H34" s="59" t="str">
        <f t="shared" si="26"/>
        <v>T_07</v>
      </c>
      <c r="I34" s="59" t="str">
        <f t="shared" si="27"/>
        <v>T_03</v>
      </c>
      <c r="J34" s="59">
        <v>3</v>
      </c>
      <c r="K34" s="60">
        <f t="shared" si="32"/>
        <v>43835</v>
      </c>
      <c r="O34" s="124">
        <v>12</v>
      </c>
      <c r="P34" s="124" t="str">
        <f t="shared" ca="1" si="28"/>
        <v>Glamsbjerg</v>
      </c>
      <c r="Q34" s="124" t="str">
        <f t="shared" ca="1" si="28"/>
        <v>Christiansfelt</v>
      </c>
      <c r="R34" s="135"/>
      <c r="S34" s="125" t="str">
        <f>IFERROR(S33+mMin,"-")</f>
        <v>-</v>
      </c>
      <c r="T34" s="149"/>
      <c r="U34" s="150"/>
      <c r="V34" s="151"/>
      <c r="W34" s="126" t="str">
        <f t="shared" si="29"/>
        <v>-</v>
      </c>
      <c r="X34" s="126" t="str">
        <f t="shared" si="30"/>
        <v>-</v>
      </c>
    </row>
    <row r="35" spans="3:24" ht="17.399999999999999" x14ac:dyDescent="0.35">
      <c r="C35" s="56" t="s">
        <v>106</v>
      </c>
      <c r="D35" s="57">
        <f t="shared" si="31"/>
        <v>0</v>
      </c>
      <c r="E35" s="56">
        <v>13</v>
      </c>
      <c r="F35" s="58">
        <f t="shared" si="24"/>
        <v>5</v>
      </c>
      <c r="G35" s="58">
        <f t="shared" si="25"/>
        <v>2</v>
      </c>
      <c r="H35" s="59" t="str">
        <f t="shared" si="26"/>
        <v>T_01</v>
      </c>
      <c r="I35" s="59" t="str">
        <f t="shared" si="27"/>
        <v>T_04</v>
      </c>
      <c r="J35" s="59">
        <v>4</v>
      </c>
      <c r="K35" s="60">
        <f t="shared" si="32"/>
        <v>43836</v>
      </c>
      <c r="O35" s="122">
        <v>13</v>
      </c>
      <c r="P35" s="122" t="str">
        <f t="shared" ca="1" si="28"/>
        <v>Assens</v>
      </c>
      <c r="Q35" s="122" t="str">
        <f t="shared" ca="1" si="28"/>
        <v>Dragør</v>
      </c>
      <c r="R35" s="134"/>
      <c r="S35" s="123" t="s">
        <v>33</v>
      </c>
      <c r="T35" s="146"/>
      <c r="U35" s="147"/>
      <c r="V35" s="148"/>
      <c r="W35" s="121" t="str">
        <f t="shared" si="29"/>
        <v>-</v>
      </c>
      <c r="X35" s="121" t="str">
        <f t="shared" si="30"/>
        <v>-</v>
      </c>
    </row>
    <row r="36" spans="3:24" ht="17.399999999999999" x14ac:dyDescent="0.35">
      <c r="C36" s="56" t="s">
        <v>107</v>
      </c>
      <c r="D36" s="57">
        <f t="shared" si="31"/>
        <v>0</v>
      </c>
      <c r="E36" s="56">
        <v>14</v>
      </c>
      <c r="F36" s="58">
        <f t="shared" si="24"/>
        <v>4</v>
      </c>
      <c r="G36" s="58">
        <f t="shared" si="25"/>
        <v>6</v>
      </c>
      <c r="H36" s="59" t="str">
        <f t="shared" si="26"/>
        <v>T_05</v>
      </c>
      <c r="I36" s="59" t="str">
        <f t="shared" si="27"/>
        <v>T_03</v>
      </c>
      <c r="J36" s="59">
        <v>4</v>
      </c>
      <c r="K36" s="60">
        <f t="shared" si="32"/>
        <v>43836</v>
      </c>
      <c r="O36" s="122">
        <v>14</v>
      </c>
      <c r="P36" s="122" t="str">
        <f t="shared" ca="1" si="28"/>
        <v>Ejby</v>
      </c>
      <c r="Q36" s="122" t="str">
        <f t="shared" ca="1" si="28"/>
        <v>Christiansfelt</v>
      </c>
      <c r="R36" s="134"/>
      <c r="S36" s="123" t="str">
        <f>IFERROR(S35+mMin,"-")</f>
        <v>-</v>
      </c>
      <c r="T36" s="146"/>
      <c r="U36" s="147"/>
      <c r="V36" s="148"/>
      <c r="W36" s="121" t="str">
        <f t="shared" si="29"/>
        <v>-</v>
      </c>
      <c r="X36" s="121" t="str">
        <f t="shared" si="30"/>
        <v>-</v>
      </c>
    </row>
    <row r="37" spans="3:24" ht="18" thickBot="1" x14ac:dyDescent="0.4">
      <c r="C37" s="56" t="s">
        <v>108</v>
      </c>
      <c r="D37" s="57">
        <f t="shared" si="31"/>
        <v>0</v>
      </c>
      <c r="E37" s="56">
        <v>15</v>
      </c>
      <c r="F37" s="58">
        <f t="shared" si="24"/>
        <v>3</v>
      </c>
      <c r="G37" s="58">
        <f t="shared" si="25"/>
        <v>7</v>
      </c>
      <c r="H37" s="59" t="str">
        <f t="shared" si="26"/>
        <v>T_06</v>
      </c>
      <c r="I37" s="59" t="str">
        <f t="shared" si="27"/>
        <v>T_02</v>
      </c>
      <c r="J37" s="59">
        <v>4</v>
      </c>
      <c r="K37" s="60">
        <f t="shared" si="32"/>
        <v>43836</v>
      </c>
      <c r="O37" s="124">
        <v>15</v>
      </c>
      <c r="P37" s="124" t="str">
        <f t="shared" ca="1" si="28"/>
        <v>Fjerritslev</v>
      </c>
      <c r="Q37" s="124" t="str">
        <f t="shared" ca="1" si="28"/>
        <v>Bogense</v>
      </c>
      <c r="R37" s="135"/>
      <c r="S37" s="125" t="str">
        <f>IFERROR(S36+mMin,"-")</f>
        <v>-</v>
      </c>
      <c r="T37" s="149"/>
      <c r="U37" s="150"/>
      <c r="V37" s="151"/>
      <c r="W37" s="126" t="str">
        <f t="shared" si="29"/>
        <v>-</v>
      </c>
      <c r="X37" s="126" t="str">
        <f t="shared" si="30"/>
        <v>-</v>
      </c>
    </row>
    <row r="38" spans="3:24" ht="17.399999999999999" x14ac:dyDescent="0.35">
      <c r="C38" s="56" t="s">
        <v>111</v>
      </c>
      <c r="D38" s="57">
        <f t="shared" si="31"/>
        <v>0</v>
      </c>
      <c r="E38" s="56">
        <v>16</v>
      </c>
      <c r="F38" s="58">
        <f t="shared" si="24"/>
        <v>2</v>
      </c>
      <c r="G38" s="58">
        <f t="shared" si="25"/>
        <v>4</v>
      </c>
      <c r="H38" s="59" t="str">
        <f t="shared" si="26"/>
        <v>T_03</v>
      </c>
      <c r="I38" s="59" t="str">
        <f t="shared" si="27"/>
        <v>T_01</v>
      </c>
      <c r="J38" s="59">
        <v>5</v>
      </c>
      <c r="K38" s="60">
        <f t="shared" si="32"/>
        <v>43837</v>
      </c>
      <c r="O38" s="122">
        <v>16</v>
      </c>
      <c r="P38" s="122" t="str">
        <f t="shared" ca="1" si="28"/>
        <v>Christiansfelt</v>
      </c>
      <c r="Q38" s="122" t="str">
        <f t="shared" ca="1" si="28"/>
        <v>Assens</v>
      </c>
      <c r="R38" s="134"/>
      <c r="S38" s="123" t="s">
        <v>33</v>
      </c>
      <c r="T38" s="146"/>
      <c r="U38" s="147"/>
      <c r="V38" s="148"/>
      <c r="W38" s="121" t="str">
        <f t="shared" si="29"/>
        <v>-</v>
      </c>
      <c r="X38" s="121" t="str">
        <f t="shared" si="30"/>
        <v>-</v>
      </c>
    </row>
    <row r="39" spans="3:24" ht="17.399999999999999" x14ac:dyDescent="0.35">
      <c r="C39" s="56" t="s">
        <v>112</v>
      </c>
      <c r="D39" s="57">
        <f t="shared" si="31"/>
        <v>0</v>
      </c>
      <c r="E39" s="56">
        <v>17</v>
      </c>
      <c r="F39" s="58">
        <f t="shared" si="24"/>
        <v>3</v>
      </c>
      <c r="G39" s="58">
        <f t="shared" si="25"/>
        <v>5</v>
      </c>
      <c r="H39" s="59" t="str">
        <f t="shared" si="26"/>
        <v>T_04</v>
      </c>
      <c r="I39" s="59" t="str">
        <f t="shared" si="27"/>
        <v>T_02</v>
      </c>
      <c r="J39" s="59">
        <v>5</v>
      </c>
      <c r="K39" s="60">
        <f t="shared" si="32"/>
        <v>43837</v>
      </c>
      <c r="O39" s="122">
        <v>17</v>
      </c>
      <c r="P39" s="122" t="str">
        <f t="shared" ca="1" si="28"/>
        <v>Dragør</v>
      </c>
      <c r="Q39" s="122" t="str">
        <f t="shared" ca="1" si="28"/>
        <v>Bogense</v>
      </c>
      <c r="R39" s="134"/>
      <c r="S39" s="123" t="str">
        <f>IFERROR(S38+mMin,"-")</f>
        <v>-</v>
      </c>
      <c r="T39" s="146"/>
      <c r="U39" s="147"/>
      <c r="V39" s="148"/>
      <c r="W39" s="121" t="str">
        <f t="shared" si="29"/>
        <v>-</v>
      </c>
      <c r="X39" s="121" t="str">
        <f t="shared" si="30"/>
        <v>-</v>
      </c>
    </row>
    <row r="40" spans="3:24" ht="18" thickBot="1" x14ac:dyDescent="0.4">
      <c r="C40" s="56" t="s">
        <v>120</v>
      </c>
      <c r="D40" s="57">
        <f t="shared" si="31"/>
        <v>0</v>
      </c>
      <c r="E40" s="56">
        <v>18</v>
      </c>
      <c r="F40" s="58">
        <f t="shared" si="24"/>
        <v>8</v>
      </c>
      <c r="G40" s="58">
        <f t="shared" si="25"/>
        <v>7</v>
      </c>
      <c r="H40" s="59" t="str">
        <f t="shared" si="26"/>
        <v>T_06</v>
      </c>
      <c r="I40" s="59" t="str">
        <f t="shared" si="27"/>
        <v>T_07</v>
      </c>
      <c r="J40" s="59">
        <v>5</v>
      </c>
      <c r="K40" s="60">
        <f t="shared" si="32"/>
        <v>43837</v>
      </c>
      <c r="O40" s="124">
        <v>18</v>
      </c>
      <c r="P40" s="124" t="str">
        <f t="shared" ca="1" si="28"/>
        <v>Fjerritslev</v>
      </c>
      <c r="Q40" s="124" t="str">
        <f t="shared" ca="1" si="28"/>
        <v>Glamsbjerg</v>
      </c>
      <c r="R40" s="135"/>
      <c r="S40" s="125" t="str">
        <f>IFERROR(S39+mMin,"-")</f>
        <v>-</v>
      </c>
      <c r="T40" s="149"/>
      <c r="U40" s="150"/>
      <c r="V40" s="151"/>
      <c r="W40" s="126" t="str">
        <f t="shared" si="29"/>
        <v>-</v>
      </c>
      <c r="X40" s="126" t="str">
        <f t="shared" si="30"/>
        <v>-</v>
      </c>
    </row>
    <row r="41" spans="3:24" ht="17.399999999999999" x14ac:dyDescent="0.35">
      <c r="C41" s="56" t="s">
        <v>116</v>
      </c>
      <c r="D41" s="57">
        <f t="shared" si="31"/>
        <v>0</v>
      </c>
      <c r="E41" s="56">
        <v>19</v>
      </c>
      <c r="F41" s="58">
        <f t="shared" si="24"/>
        <v>3</v>
      </c>
      <c r="G41" s="58">
        <f t="shared" si="25"/>
        <v>2</v>
      </c>
      <c r="H41" s="59" t="str">
        <f t="shared" si="26"/>
        <v>T_01</v>
      </c>
      <c r="I41" s="59" t="str">
        <f t="shared" si="27"/>
        <v>T_02</v>
      </c>
      <c r="J41" s="59">
        <v>6</v>
      </c>
      <c r="K41" s="60">
        <f t="shared" si="32"/>
        <v>43838</v>
      </c>
      <c r="O41" s="122">
        <v>19</v>
      </c>
      <c r="P41" s="122" t="str">
        <f t="shared" ca="1" si="28"/>
        <v>Assens</v>
      </c>
      <c r="Q41" s="122" t="str">
        <f t="shared" ca="1" si="28"/>
        <v>Bogense</v>
      </c>
      <c r="R41" s="134"/>
      <c r="S41" s="123" t="s">
        <v>33</v>
      </c>
      <c r="T41" s="146"/>
      <c r="U41" s="147"/>
      <c r="V41" s="148"/>
      <c r="W41" s="121" t="str">
        <f t="shared" si="29"/>
        <v>-</v>
      </c>
      <c r="X41" s="121" t="str">
        <f t="shared" si="30"/>
        <v>-</v>
      </c>
    </row>
    <row r="42" spans="3:24" ht="17.399999999999999" x14ac:dyDescent="0.35">
      <c r="C42" s="56" t="s">
        <v>79</v>
      </c>
      <c r="D42" s="57">
        <f t="shared" si="31"/>
        <v>0</v>
      </c>
      <c r="E42" s="56">
        <v>20</v>
      </c>
      <c r="F42" s="58">
        <f t="shared" si="24"/>
        <v>8</v>
      </c>
      <c r="G42" s="58">
        <f t="shared" si="25"/>
        <v>5</v>
      </c>
      <c r="H42" s="59" t="str">
        <f t="shared" si="26"/>
        <v>T_04</v>
      </c>
      <c r="I42" s="59" t="str">
        <f t="shared" si="27"/>
        <v>T_07</v>
      </c>
      <c r="J42" s="59">
        <v>6</v>
      </c>
      <c r="K42" s="60">
        <f t="shared" si="32"/>
        <v>43838</v>
      </c>
      <c r="O42" s="122">
        <v>20</v>
      </c>
      <c r="P42" s="122" t="str">
        <f t="shared" ca="1" si="28"/>
        <v>Dragør</v>
      </c>
      <c r="Q42" s="122" t="str">
        <f t="shared" ca="1" si="28"/>
        <v>Glamsbjerg</v>
      </c>
      <c r="R42" s="134"/>
      <c r="S42" s="123" t="str">
        <f>IFERROR(S41+mMin,"-")</f>
        <v>-</v>
      </c>
      <c r="T42" s="146"/>
      <c r="U42" s="147"/>
      <c r="V42" s="148"/>
      <c r="W42" s="121" t="str">
        <f t="shared" si="29"/>
        <v>-</v>
      </c>
      <c r="X42" s="121" t="str">
        <f t="shared" si="30"/>
        <v>-</v>
      </c>
    </row>
    <row r="43" spans="3:24" ht="18" thickBot="1" x14ac:dyDescent="0.4">
      <c r="C43" s="56" t="s">
        <v>80</v>
      </c>
      <c r="D43" s="57">
        <f t="shared" si="31"/>
        <v>0</v>
      </c>
      <c r="E43" s="56">
        <v>21</v>
      </c>
      <c r="F43" s="58">
        <f t="shared" si="24"/>
        <v>7</v>
      </c>
      <c r="G43" s="58">
        <f t="shared" si="25"/>
        <v>6</v>
      </c>
      <c r="H43" s="59" t="str">
        <f t="shared" si="26"/>
        <v>T_05</v>
      </c>
      <c r="I43" s="59" t="str">
        <f t="shared" si="27"/>
        <v>T_06</v>
      </c>
      <c r="J43" s="59">
        <v>6</v>
      </c>
      <c r="K43" s="60">
        <f t="shared" si="32"/>
        <v>43838</v>
      </c>
      <c r="O43" s="167">
        <v>21</v>
      </c>
      <c r="P43" s="167" t="str">
        <f t="shared" ca="1" si="28"/>
        <v>Ejby</v>
      </c>
      <c r="Q43" s="167" t="str">
        <f t="shared" ca="1" si="28"/>
        <v>Fjerritslev</v>
      </c>
      <c r="R43" s="168"/>
      <c r="S43" s="169" t="str">
        <f>IFERROR(S42+mMin,"-")</f>
        <v>-</v>
      </c>
      <c r="T43" s="170"/>
      <c r="U43" s="171"/>
      <c r="V43" s="172"/>
      <c r="W43" s="173" t="str">
        <f t="shared" si="29"/>
        <v>-</v>
      </c>
      <c r="X43" s="173" t="str">
        <f t="shared" si="30"/>
        <v>-</v>
      </c>
    </row>
    <row r="44" spans="3:24" ht="18" thickTop="1" x14ac:dyDescent="0.35">
      <c r="C44" s="56" t="s">
        <v>128</v>
      </c>
      <c r="D44" s="57">
        <f t="shared" si="31"/>
        <v>0</v>
      </c>
      <c r="E44" s="56">
        <v>22</v>
      </c>
      <c r="F44" s="58">
        <f t="shared" si="24"/>
        <v>3</v>
      </c>
      <c r="G44" s="58">
        <f t="shared" si="25"/>
        <v>8</v>
      </c>
      <c r="H44" s="59" t="str">
        <f t="shared" si="26"/>
        <v>T_07</v>
      </c>
      <c r="I44" s="59" t="str">
        <f t="shared" si="27"/>
        <v>T_02</v>
      </c>
      <c r="J44" s="59">
        <v>7</v>
      </c>
      <c r="K44" s="60">
        <f t="shared" si="32"/>
        <v>43839</v>
      </c>
      <c r="O44" s="160">
        <v>22</v>
      </c>
      <c r="P44" s="160" t="str">
        <f t="shared" ca="1" si="28"/>
        <v>Glamsbjerg</v>
      </c>
      <c r="Q44" s="160" t="str">
        <f t="shared" ca="1" si="28"/>
        <v>Bogense</v>
      </c>
      <c r="R44" s="161"/>
      <c r="S44" s="162" t="s">
        <v>33</v>
      </c>
      <c r="T44" s="163"/>
      <c r="U44" s="164"/>
      <c r="V44" s="165"/>
      <c r="W44" s="166" t="str">
        <f t="shared" si="29"/>
        <v>-</v>
      </c>
      <c r="X44" s="166" t="str">
        <f t="shared" si="30"/>
        <v>-</v>
      </c>
    </row>
    <row r="45" spans="3:24" ht="17.399999999999999" x14ac:dyDescent="0.35">
      <c r="C45" s="56" t="s">
        <v>129</v>
      </c>
      <c r="D45" s="57">
        <f t="shared" si="31"/>
        <v>0</v>
      </c>
      <c r="E45" s="56">
        <v>23</v>
      </c>
      <c r="F45" s="58">
        <f t="shared" si="24"/>
        <v>4</v>
      </c>
      <c r="G45" s="58">
        <f t="shared" si="25"/>
        <v>7</v>
      </c>
      <c r="H45" s="59" t="str">
        <f t="shared" si="26"/>
        <v>T_06</v>
      </c>
      <c r="I45" s="59" t="str">
        <f t="shared" si="27"/>
        <v>T_03</v>
      </c>
      <c r="J45" s="59">
        <v>7</v>
      </c>
      <c r="K45" s="60">
        <f t="shared" si="32"/>
        <v>43839</v>
      </c>
      <c r="O45" s="122">
        <v>23</v>
      </c>
      <c r="P45" s="122" t="str">
        <f t="shared" ca="1" si="28"/>
        <v>Fjerritslev</v>
      </c>
      <c r="Q45" s="122" t="str">
        <f t="shared" ca="1" si="28"/>
        <v>Christiansfelt</v>
      </c>
      <c r="R45" s="134"/>
      <c r="S45" s="123" t="str">
        <f>IFERROR(S44+mMin,"-")</f>
        <v>-</v>
      </c>
      <c r="T45" s="146"/>
      <c r="U45" s="147"/>
      <c r="V45" s="148"/>
      <c r="W45" s="121" t="str">
        <f t="shared" si="29"/>
        <v>-</v>
      </c>
      <c r="X45" s="121" t="str">
        <f t="shared" si="30"/>
        <v>-</v>
      </c>
    </row>
    <row r="46" spans="3:24" ht="18" thickBot="1" x14ac:dyDescent="0.4">
      <c r="C46" s="56" t="s">
        <v>130</v>
      </c>
      <c r="D46" s="57">
        <f t="shared" si="31"/>
        <v>0</v>
      </c>
      <c r="E46" s="56">
        <v>24</v>
      </c>
      <c r="F46" s="58">
        <f t="shared" si="24"/>
        <v>5</v>
      </c>
      <c r="G46" s="58">
        <f t="shared" si="25"/>
        <v>6</v>
      </c>
      <c r="H46" s="59" t="str">
        <f t="shared" si="26"/>
        <v>T_05</v>
      </c>
      <c r="I46" s="59" t="str">
        <f t="shared" si="27"/>
        <v>T_04</v>
      </c>
      <c r="J46" s="59">
        <v>7</v>
      </c>
      <c r="K46" s="60">
        <f t="shared" si="32"/>
        <v>43839</v>
      </c>
      <c r="O46" s="124">
        <v>24</v>
      </c>
      <c r="P46" s="124" t="str">
        <f t="shared" ca="1" si="28"/>
        <v>Ejby</v>
      </c>
      <c r="Q46" s="124" t="str">
        <f t="shared" ca="1" si="28"/>
        <v>Dragør</v>
      </c>
      <c r="R46" s="135"/>
      <c r="S46" s="125" t="str">
        <f>IFERROR(S45+mMin,"-")</f>
        <v>-</v>
      </c>
      <c r="T46" s="149"/>
      <c r="U46" s="150"/>
      <c r="V46" s="151"/>
      <c r="W46" s="126" t="str">
        <f t="shared" si="29"/>
        <v>-</v>
      </c>
      <c r="X46" s="126" t="str">
        <f t="shared" si="30"/>
        <v>-</v>
      </c>
    </row>
    <row r="47" spans="3:24" ht="17.399999999999999" x14ac:dyDescent="0.35">
      <c r="C47" s="56" t="s">
        <v>136</v>
      </c>
      <c r="D47" s="57">
        <f t="shared" si="31"/>
        <v>0</v>
      </c>
      <c r="E47" s="56">
        <v>25</v>
      </c>
      <c r="F47" s="58">
        <f t="shared" si="24"/>
        <v>8</v>
      </c>
      <c r="G47" s="58">
        <f t="shared" si="25"/>
        <v>2</v>
      </c>
      <c r="H47" s="59" t="str">
        <f t="shared" si="26"/>
        <v>T_01</v>
      </c>
      <c r="I47" s="59" t="str">
        <f t="shared" si="27"/>
        <v>T_07</v>
      </c>
      <c r="J47" s="59">
        <v>8</v>
      </c>
      <c r="K47" s="60">
        <f t="shared" si="32"/>
        <v>43840</v>
      </c>
      <c r="O47" s="160">
        <v>25</v>
      </c>
      <c r="P47" s="160" t="str">
        <f t="shared" ca="1" si="28"/>
        <v>Assens</v>
      </c>
      <c r="Q47" s="160" t="str">
        <f t="shared" ca="1" si="28"/>
        <v>Glamsbjerg</v>
      </c>
      <c r="R47" s="161"/>
      <c r="S47" s="162" t="s">
        <v>33</v>
      </c>
      <c r="T47" s="163"/>
      <c r="U47" s="164"/>
      <c r="V47" s="165"/>
      <c r="W47" s="166" t="str">
        <f t="shared" si="29"/>
        <v>-</v>
      </c>
      <c r="X47" s="166" t="str">
        <f t="shared" si="30"/>
        <v>-</v>
      </c>
    </row>
    <row r="48" spans="3:24" ht="17.399999999999999" x14ac:dyDescent="0.35">
      <c r="C48" s="56" t="s">
        <v>134</v>
      </c>
      <c r="D48" s="57">
        <f t="shared" si="31"/>
        <v>0</v>
      </c>
      <c r="E48" s="56">
        <v>26</v>
      </c>
      <c r="F48" s="58">
        <f t="shared" si="24"/>
        <v>3</v>
      </c>
      <c r="G48" s="58">
        <f t="shared" si="25"/>
        <v>6</v>
      </c>
      <c r="H48" s="59" t="str">
        <f t="shared" si="26"/>
        <v>T_05</v>
      </c>
      <c r="I48" s="59" t="str">
        <f t="shared" si="27"/>
        <v>T_02</v>
      </c>
      <c r="J48" s="59">
        <v>8</v>
      </c>
      <c r="K48" s="60">
        <f t="shared" si="32"/>
        <v>43840</v>
      </c>
      <c r="O48" s="122">
        <v>26</v>
      </c>
      <c r="P48" s="122" t="str">
        <f t="shared" ca="1" si="28"/>
        <v>Ejby</v>
      </c>
      <c r="Q48" s="122" t="str">
        <f t="shared" ca="1" si="28"/>
        <v>Bogense</v>
      </c>
      <c r="R48" s="134"/>
      <c r="S48" s="123" t="str">
        <f>IFERROR(S47+mMin,"-")</f>
        <v>-</v>
      </c>
      <c r="T48" s="146"/>
      <c r="U48" s="147"/>
      <c r="V48" s="148"/>
      <c r="W48" s="121" t="str">
        <f t="shared" si="29"/>
        <v>-</v>
      </c>
      <c r="X48" s="121" t="str">
        <f t="shared" si="30"/>
        <v>-</v>
      </c>
    </row>
    <row r="49" spans="3:24" ht="18" thickBot="1" x14ac:dyDescent="0.4">
      <c r="C49" s="56" t="s">
        <v>135</v>
      </c>
      <c r="D49" s="57">
        <f t="shared" si="31"/>
        <v>0</v>
      </c>
      <c r="E49" s="56">
        <v>27</v>
      </c>
      <c r="F49" s="58">
        <f t="shared" si="24"/>
        <v>4</v>
      </c>
      <c r="G49" s="58">
        <f t="shared" si="25"/>
        <v>5</v>
      </c>
      <c r="H49" s="59" t="str">
        <f t="shared" si="26"/>
        <v>T_04</v>
      </c>
      <c r="I49" s="59" t="str">
        <f t="shared" si="27"/>
        <v>T_03</v>
      </c>
      <c r="J49" s="59">
        <v>8</v>
      </c>
      <c r="K49" s="60">
        <f t="shared" si="32"/>
        <v>43840</v>
      </c>
      <c r="O49" s="124">
        <v>27</v>
      </c>
      <c r="P49" s="124" t="str">
        <f t="shared" ca="1" si="28"/>
        <v>Dragør</v>
      </c>
      <c r="Q49" s="124" t="str">
        <f t="shared" ca="1" si="28"/>
        <v>Christiansfelt</v>
      </c>
      <c r="R49" s="135"/>
      <c r="S49" s="125" t="str">
        <f>IFERROR(S48+mMin,"-")</f>
        <v>-</v>
      </c>
      <c r="T49" s="149"/>
      <c r="U49" s="150"/>
      <c r="V49" s="151"/>
      <c r="W49" s="126" t="str">
        <f t="shared" si="29"/>
        <v>-</v>
      </c>
      <c r="X49" s="126" t="str">
        <f t="shared" si="30"/>
        <v>-</v>
      </c>
    </row>
    <row r="50" spans="3:24" ht="17.399999999999999" x14ac:dyDescent="0.35">
      <c r="C50" s="56" t="s">
        <v>141</v>
      </c>
      <c r="D50" s="57">
        <f t="shared" si="31"/>
        <v>0</v>
      </c>
      <c r="E50" s="56">
        <v>28</v>
      </c>
      <c r="F50" s="58">
        <f t="shared" si="24"/>
        <v>2</v>
      </c>
      <c r="G50" s="58">
        <f t="shared" si="25"/>
        <v>7</v>
      </c>
      <c r="H50" s="59" t="str">
        <f t="shared" si="26"/>
        <v>T_06</v>
      </c>
      <c r="I50" s="59" t="str">
        <f t="shared" si="27"/>
        <v>T_01</v>
      </c>
      <c r="J50" s="59">
        <v>9</v>
      </c>
      <c r="K50" s="60">
        <f t="shared" si="32"/>
        <v>43841</v>
      </c>
      <c r="O50" s="122">
        <v>28</v>
      </c>
      <c r="P50" s="122" t="str">
        <f t="shared" ca="1" si="28"/>
        <v>Fjerritslev</v>
      </c>
      <c r="Q50" s="122" t="str">
        <f t="shared" ca="1" si="28"/>
        <v>Assens</v>
      </c>
      <c r="R50" s="134"/>
      <c r="S50" s="123" t="s">
        <v>33</v>
      </c>
      <c r="T50" s="146"/>
      <c r="U50" s="147"/>
      <c r="V50" s="148"/>
      <c r="W50" s="121" t="str">
        <f t="shared" si="29"/>
        <v>-</v>
      </c>
      <c r="X50" s="121" t="str">
        <f t="shared" si="30"/>
        <v>-</v>
      </c>
    </row>
    <row r="51" spans="3:24" ht="17.399999999999999" x14ac:dyDescent="0.35">
      <c r="C51" s="56" t="s">
        <v>142</v>
      </c>
      <c r="D51" s="57">
        <f t="shared" si="31"/>
        <v>0</v>
      </c>
      <c r="E51" s="56">
        <v>29</v>
      </c>
      <c r="F51" s="58">
        <f t="shared" si="24"/>
        <v>8</v>
      </c>
      <c r="G51" s="58">
        <f t="shared" si="25"/>
        <v>6</v>
      </c>
      <c r="H51" s="59" t="str">
        <f t="shared" si="26"/>
        <v>T_05</v>
      </c>
      <c r="I51" s="59" t="str">
        <f t="shared" si="27"/>
        <v>T_07</v>
      </c>
      <c r="J51" s="59">
        <v>9</v>
      </c>
      <c r="K51" s="60">
        <f t="shared" si="32"/>
        <v>43841</v>
      </c>
      <c r="O51" s="122">
        <v>29</v>
      </c>
      <c r="P51" s="122" t="str">
        <f t="shared" ca="1" si="28"/>
        <v>Ejby</v>
      </c>
      <c r="Q51" s="122" t="str">
        <f t="shared" ca="1" si="28"/>
        <v>Glamsbjerg</v>
      </c>
      <c r="R51" s="134"/>
      <c r="S51" s="123" t="str">
        <f>IFERROR(S50+mMin,"-")</f>
        <v>-</v>
      </c>
      <c r="T51" s="146"/>
      <c r="U51" s="147"/>
      <c r="V51" s="148"/>
      <c r="W51" s="121" t="str">
        <f t="shared" si="29"/>
        <v>-</v>
      </c>
      <c r="X51" s="121" t="str">
        <f t="shared" si="30"/>
        <v>-</v>
      </c>
    </row>
    <row r="52" spans="3:24" ht="18" thickBot="1" x14ac:dyDescent="0.4">
      <c r="C52" s="56" t="s">
        <v>140</v>
      </c>
      <c r="D52" s="57">
        <f t="shared" si="31"/>
        <v>0</v>
      </c>
      <c r="E52" s="56">
        <v>30</v>
      </c>
      <c r="F52" s="58">
        <f t="shared" si="24"/>
        <v>3</v>
      </c>
      <c r="G52" s="58">
        <f t="shared" si="25"/>
        <v>4</v>
      </c>
      <c r="H52" s="59" t="str">
        <f t="shared" ref="H52:H64" si="33">INDEX(HxA,G52,1)</f>
        <v>T_03</v>
      </c>
      <c r="I52" s="59" t="str">
        <f t="shared" si="27"/>
        <v>T_02</v>
      </c>
      <c r="J52" s="59">
        <v>9</v>
      </c>
      <c r="K52" s="60">
        <f t="shared" si="32"/>
        <v>43841</v>
      </c>
      <c r="O52" s="124">
        <v>30</v>
      </c>
      <c r="P52" s="124" t="str">
        <f t="shared" ca="1" si="28"/>
        <v>Christiansfelt</v>
      </c>
      <c r="Q52" s="124" t="str">
        <f t="shared" ca="1" si="28"/>
        <v>Bogense</v>
      </c>
      <c r="R52" s="135"/>
      <c r="S52" s="125" t="str">
        <f>IFERROR(S51+mMin,"-")</f>
        <v>-</v>
      </c>
      <c r="T52" s="149"/>
      <c r="U52" s="150"/>
      <c r="V52" s="151"/>
      <c r="W52" s="126" t="str">
        <f t="shared" ref="W52:W64" si="34">IF(ISNUMBER(U52)*ISNUMBER(V52),IF(U52&gt;V52,ptv, IF(U52=V52,ptu,ptt)),"-")</f>
        <v>-</v>
      </c>
      <c r="X52" s="126" t="str">
        <f t="shared" ref="X52:X64" si="35">IF(ISNUMBER(U52)*ISNUMBER(V52),IF(W52=ptv,ptt,IF(W52=ptu,ptu,ptv)),"-")</f>
        <v>-</v>
      </c>
    </row>
    <row r="53" spans="3:24" ht="17.399999999999999" x14ac:dyDescent="0.35">
      <c r="C53" s="56" t="s">
        <v>146</v>
      </c>
      <c r="D53" s="57">
        <f t="shared" si="31"/>
        <v>0</v>
      </c>
      <c r="E53" s="56">
        <v>31</v>
      </c>
      <c r="F53" s="58">
        <f t="shared" si="24"/>
        <v>6</v>
      </c>
      <c r="G53" s="58">
        <f t="shared" si="25"/>
        <v>2</v>
      </c>
      <c r="H53" s="59" t="str">
        <f t="shared" si="33"/>
        <v>T_01</v>
      </c>
      <c r="I53" s="59" t="str">
        <f t="shared" si="27"/>
        <v>T_05</v>
      </c>
      <c r="J53" s="59">
        <v>10</v>
      </c>
      <c r="K53" s="60">
        <f t="shared" si="32"/>
        <v>43842</v>
      </c>
      <c r="O53" s="122">
        <v>31</v>
      </c>
      <c r="P53" s="122" t="str">
        <f t="shared" ca="1" si="28"/>
        <v>Assens</v>
      </c>
      <c r="Q53" s="122" t="str">
        <f t="shared" ca="1" si="28"/>
        <v>Ejby</v>
      </c>
      <c r="R53" s="134"/>
      <c r="S53" s="123" t="s">
        <v>33</v>
      </c>
      <c r="T53" s="146"/>
      <c r="U53" s="147"/>
      <c r="V53" s="148"/>
      <c r="W53" s="121" t="str">
        <f t="shared" si="34"/>
        <v>-</v>
      </c>
      <c r="X53" s="121" t="str">
        <f t="shared" si="35"/>
        <v>-</v>
      </c>
    </row>
    <row r="54" spans="3:24" ht="17.399999999999999" x14ac:dyDescent="0.35">
      <c r="C54" s="56" t="s">
        <v>147</v>
      </c>
      <c r="D54" s="57">
        <f t="shared" si="31"/>
        <v>0</v>
      </c>
      <c r="E54" s="56">
        <v>32</v>
      </c>
      <c r="F54" s="58">
        <f t="shared" si="24"/>
        <v>7</v>
      </c>
      <c r="G54" s="58">
        <f t="shared" si="25"/>
        <v>5</v>
      </c>
      <c r="H54" s="59" t="str">
        <f t="shared" si="33"/>
        <v>T_04</v>
      </c>
      <c r="I54" s="59" t="str">
        <f t="shared" si="27"/>
        <v>T_06</v>
      </c>
      <c r="J54" s="59">
        <v>10</v>
      </c>
      <c r="K54" s="60">
        <f t="shared" si="32"/>
        <v>43842</v>
      </c>
      <c r="O54" s="122">
        <v>32</v>
      </c>
      <c r="P54" s="122" t="str">
        <f t="shared" ca="1" si="28"/>
        <v>Dragør</v>
      </c>
      <c r="Q54" s="122" t="str">
        <f t="shared" ca="1" si="28"/>
        <v>Fjerritslev</v>
      </c>
      <c r="R54" s="134"/>
      <c r="S54" s="123" t="str">
        <f>IFERROR(S53+mMin,"-")</f>
        <v>-</v>
      </c>
      <c r="T54" s="146"/>
      <c r="U54" s="147"/>
      <c r="V54" s="148"/>
      <c r="W54" s="121" t="str">
        <f t="shared" si="34"/>
        <v>-</v>
      </c>
      <c r="X54" s="121" t="str">
        <f t="shared" si="35"/>
        <v>-</v>
      </c>
    </row>
    <row r="55" spans="3:24" ht="18" thickBot="1" x14ac:dyDescent="0.4">
      <c r="C55" s="56" t="s">
        <v>148</v>
      </c>
      <c r="D55" s="57">
        <f t="shared" si="31"/>
        <v>0</v>
      </c>
      <c r="E55" s="56">
        <v>33</v>
      </c>
      <c r="F55" s="58">
        <f t="shared" si="24"/>
        <v>8</v>
      </c>
      <c r="G55" s="58">
        <f t="shared" si="25"/>
        <v>4</v>
      </c>
      <c r="H55" s="59" t="str">
        <f t="shared" si="33"/>
        <v>T_03</v>
      </c>
      <c r="I55" s="59" t="str">
        <f t="shared" si="27"/>
        <v>T_07</v>
      </c>
      <c r="J55" s="59">
        <v>10</v>
      </c>
      <c r="K55" s="60">
        <f t="shared" si="32"/>
        <v>43842</v>
      </c>
      <c r="O55" s="124">
        <v>33</v>
      </c>
      <c r="P55" s="124" t="str">
        <f t="shared" ca="1" si="28"/>
        <v>Christiansfelt</v>
      </c>
      <c r="Q55" s="124" t="str">
        <f t="shared" ca="1" si="28"/>
        <v>Glamsbjerg</v>
      </c>
      <c r="R55" s="135"/>
      <c r="S55" s="125" t="str">
        <f>IFERROR(S54+mMin,"-")</f>
        <v>-</v>
      </c>
      <c r="T55" s="149"/>
      <c r="U55" s="150"/>
      <c r="V55" s="151"/>
      <c r="W55" s="126" t="str">
        <f t="shared" si="34"/>
        <v>-</v>
      </c>
      <c r="X55" s="126" t="str">
        <f t="shared" si="35"/>
        <v>-</v>
      </c>
    </row>
    <row r="56" spans="3:24" ht="17.399999999999999" x14ac:dyDescent="0.35">
      <c r="C56" s="56" t="s">
        <v>151</v>
      </c>
      <c r="D56" s="57">
        <f t="shared" si="31"/>
        <v>0</v>
      </c>
      <c r="E56" s="56">
        <v>34</v>
      </c>
      <c r="F56" s="58">
        <f t="shared" si="24"/>
        <v>2</v>
      </c>
      <c r="G56" s="58">
        <f t="shared" si="25"/>
        <v>5</v>
      </c>
      <c r="H56" s="59" t="str">
        <f t="shared" si="33"/>
        <v>T_04</v>
      </c>
      <c r="I56" s="59" t="str">
        <f t="shared" si="27"/>
        <v>T_01</v>
      </c>
      <c r="J56" s="59">
        <v>11</v>
      </c>
      <c r="K56" s="60">
        <f t="shared" si="32"/>
        <v>43843</v>
      </c>
      <c r="O56" s="122">
        <v>34</v>
      </c>
      <c r="P56" s="122" t="str">
        <f t="shared" ca="1" si="28"/>
        <v>Dragør</v>
      </c>
      <c r="Q56" s="122" t="str">
        <f t="shared" ca="1" si="28"/>
        <v>Assens</v>
      </c>
      <c r="R56" s="134"/>
      <c r="S56" s="123" t="s">
        <v>33</v>
      </c>
      <c r="T56" s="146"/>
      <c r="U56" s="147"/>
      <c r="V56" s="148"/>
      <c r="W56" s="121" t="str">
        <f t="shared" si="34"/>
        <v>-</v>
      </c>
      <c r="X56" s="121" t="str">
        <f t="shared" si="35"/>
        <v>-</v>
      </c>
    </row>
    <row r="57" spans="3:24" ht="17.399999999999999" x14ac:dyDescent="0.35">
      <c r="C57" s="56" t="s">
        <v>152</v>
      </c>
      <c r="D57" s="57">
        <f t="shared" si="31"/>
        <v>0</v>
      </c>
      <c r="E57" s="56">
        <v>35</v>
      </c>
      <c r="F57" s="58">
        <f t="shared" si="24"/>
        <v>6</v>
      </c>
      <c r="G57" s="58">
        <f t="shared" si="25"/>
        <v>4</v>
      </c>
      <c r="H57" s="59" t="str">
        <f t="shared" si="33"/>
        <v>T_03</v>
      </c>
      <c r="I57" s="59" t="str">
        <f t="shared" si="27"/>
        <v>T_05</v>
      </c>
      <c r="J57" s="59">
        <v>11</v>
      </c>
      <c r="K57" s="60">
        <f t="shared" si="32"/>
        <v>43843</v>
      </c>
      <c r="O57" s="122">
        <v>35</v>
      </c>
      <c r="P57" s="122" t="str">
        <f t="shared" ca="1" si="28"/>
        <v>Christiansfelt</v>
      </c>
      <c r="Q57" s="122" t="str">
        <f t="shared" ca="1" si="28"/>
        <v>Ejby</v>
      </c>
      <c r="R57" s="134"/>
      <c r="S57" s="123" t="str">
        <f>IFERROR(S56+mMin,"-")</f>
        <v>-</v>
      </c>
      <c r="T57" s="146"/>
      <c r="U57" s="147"/>
      <c r="V57" s="148"/>
      <c r="W57" s="121" t="str">
        <f t="shared" si="34"/>
        <v>-</v>
      </c>
      <c r="X57" s="121" t="str">
        <f t="shared" si="35"/>
        <v>-</v>
      </c>
    </row>
    <row r="58" spans="3:24" ht="18" thickBot="1" x14ac:dyDescent="0.4">
      <c r="C58" s="56" t="s">
        <v>153</v>
      </c>
      <c r="D58" s="57">
        <f t="shared" si="31"/>
        <v>0</v>
      </c>
      <c r="E58" s="56">
        <v>36</v>
      </c>
      <c r="F58" s="58">
        <f t="shared" si="24"/>
        <v>7</v>
      </c>
      <c r="G58" s="58">
        <f t="shared" si="25"/>
        <v>3</v>
      </c>
      <c r="H58" s="59" t="str">
        <f t="shared" si="33"/>
        <v>T_02</v>
      </c>
      <c r="I58" s="59" t="str">
        <f t="shared" si="27"/>
        <v>T_06</v>
      </c>
      <c r="J58" s="59">
        <v>11</v>
      </c>
      <c r="K58" s="60">
        <f t="shared" si="32"/>
        <v>43843</v>
      </c>
      <c r="O58" s="124">
        <v>36</v>
      </c>
      <c r="P58" s="124" t="str">
        <f t="shared" ca="1" si="28"/>
        <v>Bogense</v>
      </c>
      <c r="Q58" s="124" t="str">
        <f t="shared" ca="1" si="28"/>
        <v>Fjerritslev</v>
      </c>
      <c r="R58" s="135"/>
      <c r="S58" s="125" t="str">
        <f>IFERROR(S57+mMin,"-")</f>
        <v>-</v>
      </c>
      <c r="T58" s="149"/>
      <c r="U58" s="150"/>
      <c r="V58" s="151"/>
      <c r="W58" s="126" t="str">
        <f t="shared" si="34"/>
        <v>-</v>
      </c>
      <c r="X58" s="126" t="str">
        <f t="shared" si="35"/>
        <v>-</v>
      </c>
    </row>
    <row r="59" spans="3:24" ht="17.399999999999999" x14ac:dyDescent="0.35">
      <c r="C59" s="56" t="s">
        <v>156</v>
      </c>
      <c r="D59" s="57">
        <f t="shared" si="31"/>
        <v>0</v>
      </c>
      <c r="E59" s="56">
        <v>37</v>
      </c>
      <c r="F59" s="58">
        <f t="shared" si="24"/>
        <v>4</v>
      </c>
      <c r="G59" s="58">
        <f t="shared" si="25"/>
        <v>2</v>
      </c>
      <c r="H59" s="59" t="str">
        <f t="shared" si="33"/>
        <v>T_01</v>
      </c>
      <c r="I59" s="59" t="str">
        <f t="shared" si="27"/>
        <v>T_03</v>
      </c>
      <c r="J59" s="59">
        <v>12</v>
      </c>
      <c r="K59" s="60">
        <f t="shared" si="32"/>
        <v>43844</v>
      </c>
      <c r="O59" s="122">
        <v>37</v>
      </c>
      <c r="P59" s="122" t="str">
        <f t="shared" ca="1" si="28"/>
        <v>Assens</v>
      </c>
      <c r="Q59" s="122" t="str">
        <f t="shared" ca="1" si="28"/>
        <v>Christiansfelt</v>
      </c>
      <c r="R59" s="134"/>
      <c r="S59" s="123" t="s">
        <v>33</v>
      </c>
      <c r="T59" s="146"/>
      <c r="U59" s="147"/>
      <c r="V59" s="148"/>
      <c r="W59" s="121" t="str">
        <f t="shared" si="34"/>
        <v>-</v>
      </c>
      <c r="X59" s="121" t="str">
        <f t="shared" si="35"/>
        <v>-</v>
      </c>
    </row>
    <row r="60" spans="3:24" ht="17.399999999999999" x14ac:dyDescent="0.35">
      <c r="C60" s="56" t="s">
        <v>157</v>
      </c>
      <c r="D60" s="57">
        <f t="shared" si="31"/>
        <v>0</v>
      </c>
      <c r="E60" s="56">
        <v>38</v>
      </c>
      <c r="F60" s="58">
        <f t="shared" si="24"/>
        <v>5</v>
      </c>
      <c r="G60" s="58">
        <f t="shared" si="25"/>
        <v>3</v>
      </c>
      <c r="H60" s="59" t="str">
        <f t="shared" si="33"/>
        <v>T_02</v>
      </c>
      <c r="I60" s="59" t="str">
        <f t="shared" si="27"/>
        <v>T_04</v>
      </c>
      <c r="J60" s="59">
        <v>12</v>
      </c>
      <c r="K60" s="60">
        <f t="shared" si="32"/>
        <v>43844</v>
      </c>
      <c r="O60" s="122">
        <v>38</v>
      </c>
      <c r="P60" s="122" t="str">
        <f t="shared" ca="1" si="28"/>
        <v>Bogense</v>
      </c>
      <c r="Q60" s="122" t="str">
        <f t="shared" ca="1" si="28"/>
        <v>Dragør</v>
      </c>
      <c r="R60" s="134"/>
      <c r="S60" s="123" t="str">
        <f>IFERROR(S59+mMin,"-")</f>
        <v>-</v>
      </c>
      <c r="T60" s="146"/>
      <c r="U60" s="147"/>
      <c r="V60" s="148"/>
      <c r="W60" s="121" t="str">
        <f t="shared" si="34"/>
        <v>-</v>
      </c>
      <c r="X60" s="121" t="str">
        <f t="shared" si="35"/>
        <v>-</v>
      </c>
    </row>
    <row r="61" spans="3:24" ht="18" thickBot="1" x14ac:dyDescent="0.4">
      <c r="C61" s="56" t="s">
        <v>165</v>
      </c>
      <c r="D61" s="57">
        <f t="shared" si="31"/>
        <v>0</v>
      </c>
      <c r="E61" s="56">
        <v>39</v>
      </c>
      <c r="F61" s="58">
        <f t="shared" si="24"/>
        <v>7</v>
      </c>
      <c r="G61" s="58">
        <f t="shared" si="25"/>
        <v>8</v>
      </c>
      <c r="H61" s="59" t="str">
        <f t="shared" si="33"/>
        <v>T_07</v>
      </c>
      <c r="I61" s="59" t="str">
        <f t="shared" si="27"/>
        <v>T_06</v>
      </c>
      <c r="J61" s="59">
        <v>12</v>
      </c>
      <c r="K61" s="60">
        <f t="shared" si="32"/>
        <v>43844</v>
      </c>
      <c r="O61" s="124">
        <v>39</v>
      </c>
      <c r="P61" s="124" t="str">
        <f t="shared" ca="1" si="28"/>
        <v>Glamsbjerg</v>
      </c>
      <c r="Q61" s="124" t="str">
        <f t="shared" ca="1" si="28"/>
        <v>Fjerritslev</v>
      </c>
      <c r="R61" s="135"/>
      <c r="S61" s="125" t="str">
        <f>IFERROR(S60+mMin,"-")</f>
        <v>-</v>
      </c>
      <c r="T61" s="149"/>
      <c r="U61" s="150"/>
      <c r="V61" s="151"/>
      <c r="W61" s="126" t="str">
        <f t="shared" si="34"/>
        <v>-</v>
      </c>
      <c r="X61" s="126" t="str">
        <f t="shared" si="35"/>
        <v>-</v>
      </c>
    </row>
    <row r="62" spans="3:24" ht="17.399999999999999" x14ac:dyDescent="0.35">
      <c r="C62" s="56" t="s">
        <v>161</v>
      </c>
      <c r="D62" s="57">
        <f t="shared" si="31"/>
        <v>0</v>
      </c>
      <c r="E62" s="56">
        <v>40</v>
      </c>
      <c r="F62" s="58">
        <f t="shared" si="24"/>
        <v>2</v>
      </c>
      <c r="G62" s="58">
        <f t="shared" si="25"/>
        <v>3</v>
      </c>
      <c r="H62" s="59" t="str">
        <f t="shared" si="33"/>
        <v>T_02</v>
      </c>
      <c r="I62" s="59" t="str">
        <f t="shared" si="27"/>
        <v>T_01</v>
      </c>
      <c r="J62" s="59">
        <v>13</v>
      </c>
      <c r="K62" s="60">
        <f t="shared" si="32"/>
        <v>43845</v>
      </c>
      <c r="O62" s="122">
        <v>40</v>
      </c>
      <c r="P62" s="122" t="str">
        <f t="shared" ca="1" si="28"/>
        <v>Bogense</v>
      </c>
      <c r="Q62" s="122" t="str">
        <f t="shared" ca="1" si="28"/>
        <v>Assens</v>
      </c>
      <c r="R62" s="134"/>
      <c r="S62" s="123" t="s">
        <v>33</v>
      </c>
      <c r="T62" s="146"/>
      <c r="U62" s="147"/>
      <c r="V62" s="148"/>
      <c r="W62" s="121" t="str">
        <f t="shared" si="34"/>
        <v>-</v>
      </c>
      <c r="X62" s="121" t="str">
        <f t="shared" si="35"/>
        <v>-</v>
      </c>
    </row>
    <row r="63" spans="3:24" ht="17.399999999999999" x14ac:dyDescent="0.35">
      <c r="C63" s="56" t="s">
        <v>124</v>
      </c>
      <c r="D63" s="57">
        <f t="shared" si="31"/>
        <v>0</v>
      </c>
      <c r="E63" s="56">
        <v>41</v>
      </c>
      <c r="F63" s="58">
        <f t="shared" si="24"/>
        <v>5</v>
      </c>
      <c r="G63" s="58">
        <f t="shared" si="25"/>
        <v>8</v>
      </c>
      <c r="H63" s="59" t="str">
        <f t="shared" si="33"/>
        <v>T_07</v>
      </c>
      <c r="I63" s="59" t="str">
        <f t="shared" si="27"/>
        <v>T_04</v>
      </c>
      <c r="J63" s="59">
        <v>13</v>
      </c>
      <c r="K63" s="60">
        <f t="shared" si="32"/>
        <v>43845</v>
      </c>
      <c r="O63" s="122">
        <v>41</v>
      </c>
      <c r="P63" s="122" t="str">
        <f t="shared" ca="1" si="28"/>
        <v>Glamsbjerg</v>
      </c>
      <c r="Q63" s="122" t="str">
        <f t="shared" ca="1" si="28"/>
        <v>Dragør</v>
      </c>
      <c r="R63" s="134"/>
      <c r="S63" s="123" t="str">
        <f>IFERROR(S62+mMin,"-")</f>
        <v>-</v>
      </c>
      <c r="T63" s="146"/>
      <c r="U63" s="147"/>
      <c r="V63" s="148"/>
      <c r="W63" s="121" t="str">
        <f t="shared" si="34"/>
        <v>-</v>
      </c>
      <c r="X63" s="121" t="str">
        <f t="shared" si="35"/>
        <v>-</v>
      </c>
    </row>
    <row r="64" spans="3:24" ht="18" thickBot="1" x14ac:dyDescent="0.4">
      <c r="C64" s="56" t="s">
        <v>125</v>
      </c>
      <c r="D64" s="57">
        <f t="shared" si="31"/>
        <v>0</v>
      </c>
      <c r="E64" s="56">
        <v>42</v>
      </c>
      <c r="F64" s="58">
        <f t="shared" si="24"/>
        <v>6</v>
      </c>
      <c r="G64" s="58">
        <f t="shared" si="25"/>
        <v>7</v>
      </c>
      <c r="H64" s="59" t="str">
        <f t="shared" si="33"/>
        <v>T_06</v>
      </c>
      <c r="I64" s="59" t="str">
        <f t="shared" si="27"/>
        <v>T_05</v>
      </c>
      <c r="J64" s="59">
        <v>13</v>
      </c>
      <c r="K64" s="60">
        <f t="shared" si="32"/>
        <v>43845</v>
      </c>
      <c r="O64" s="124">
        <v>42</v>
      </c>
      <c r="P64" s="124" t="str">
        <f t="shared" ca="1" si="28"/>
        <v>Fjerritslev</v>
      </c>
      <c r="Q64" s="124" t="str">
        <f t="shared" ca="1" si="28"/>
        <v>Ejby</v>
      </c>
      <c r="R64" s="135"/>
      <c r="S64" s="125" t="str">
        <f>IFERROR(S63+mMin,"-")</f>
        <v>-</v>
      </c>
      <c r="T64" s="149"/>
      <c r="U64" s="150"/>
      <c r="V64" s="151"/>
      <c r="W64" s="126" t="str">
        <f t="shared" si="34"/>
        <v>-</v>
      </c>
      <c r="X64" s="126" t="str">
        <f t="shared" si="35"/>
        <v>-</v>
      </c>
    </row>
    <row r="65" spans="8:24" ht="18" thickBot="1" x14ac:dyDescent="0.4">
      <c r="H65" s="19" t="s">
        <v>34</v>
      </c>
      <c r="I65" s="19" t="s">
        <v>35</v>
      </c>
      <c r="J65" s="38"/>
      <c r="K65" s="17"/>
      <c r="P65" s="92"/>
      <c r="Q65" s="92"/>
      <c r="R65" s="92"/>
      <c r="S65" s="5"/>
      <c r="T65" s="5"/>
      <c r="U65" s="16"/>
      <c r="V65" s="40"/>
    </row>
    <row r="66" spans="8:24" ht="18" thickBot="1" x14ac:dyDescent="0.4">
      <c r="H66" s="20" t="str">
        <f>IF(ISNUMBER(U66),IF(U66&gt;V66,P66,Q66),"")</f>
        <v/>
      </c>
      <c r="I66" s="20" t="str">
        <f>IF(ISNUMBER(U66),IF(H66=P66,Q66,P66),"")</f>
        <v/>
      </c>
      <c r="J66" s="38">
        <v>14</v>
      </c>
      <c r="K66" s="17">
        <f t="shared" si="32"/>
        <v>43846</v>
      </c>
      <c r="O66" s="89" t="s">
        <v>64</v>
      </c>
      <c r="P66" s="90" t="s">
        <v>16</v>
      </c>
      <c r="Q66" s="90" t="s">
        <v>57</v>
      </c>
      <c r="R66" s="174"/>
      <c r="S66" s="175"/>
      <c r="T66" s="176"/>
      <c r="U66" s="177"/>
      <c r="V66" s="178"/>
      <c r="W66" s="21" t="str">
        <f t="shared" ref="W66" si="36">IF(ISNUMBER(U66)*ISNUMBER(V66),IF(U66&gt;V66,ptv, IF(U66=V66,ptu,ptt)),"-")</f>
        <v>-</v>
      </c>
      <c r="X66" s="21" t="str">
        <f t="shared" ref="X66" si="37">IF(ISNUMBER(U66)*ISNUMBER(V66),IF(W66=ptv,ptt,IF(W66=ptu,ptu,ptv)),"-")</f>
        <v>-</v>
      </c>
    </row>
    <row r="67" spans="8:24" ht="15" thickBot="1" x14ac:dyDescent="0.25">
      <c r="H67" s="19" t="s">
        <v>36</v>
      </c>
      <c r="I67" s="19" t="s">
        <v>37</v>
      </c>
      <c r="J67" s="38"/>
      <c r="K67" s="17"/>
      <c r="P67" s="92"/>
      <c r="Q67" s="92"/>
      <c r="R67" s="92"/>
      <c r="S67" s="5"/>
      <c r="T67" s="5"/>
      <c r="U67" s="5"/>
      <c r="V67" s="94"/>
    </row>
    <row r="68" spans="8:24" ht="18" thickBot="1" x14ac:dyDescent="0.4">
      <c r="H68" s="20" t="str">
        <f>IF(ISNUMBER(U68),IF(U68&gt;V68,P68,Q68),"")</f>
        <v/>
      </c>
      <c r="I68" s="20" t="str">
        <f>IF(ISNUMBER(U68),IF(H68=P68,Q68,P68),"")</f>
        <v/>
      </c>
      <c r="J68" s="38">
        <v>15</v>
      </c>
      <c r="K68" s="17">
        <f t="shared" si="32"/>
        <v>43847</v>
      </c>
      <c r="O68" s="88" t="s">
        <v>175</v>
      </c>
      <c r="P68" s="90"/>
      <c r="Q68" s="90"/>
      <c r="R68" s="174"/>
      <c r="S68" s="175"/>
      <c r="T68" s="176"/>
      <c r="U68" s="177"/>
      <c r="V68" s="178"/>
      <c r="W68" s="21" t="str">
        <f t="shared" ref="W68" si="38">IF(ISNUMBER(U68)*ISNUMBER(V68),IF(U68&gt;V68,ptv, IF(U68=V68,ptu,ptt)),"-")</f>
        <v>-</v>
      </c>
      <c r="X68" s="21" t="str">
        <f t="shared" ref="X68" si="39">IF(ISNUMBER(U68)*ISNUMBER(V68),IF(W68=ptv,ptt,IF(W68=ptu,ptu,ptv)),"-")</f>
        <v>-</v>
      </c>
    </row>
  </sheetData>
  <sheetProtection sheet="1" objects="1" scenarios="1"/>
  <conditionalFormatting sqref="B14:H20">
    <cfRule type="duplicateValues" dxfId="44" priority="5"/>
    <cfRule type="expression" dxfId="43" priority="6">
      <formula>AND(MOD(B14,2)=0,ISNUMBER(B14))</formula>
    </cfRule>
  </conditionalFormatting>
  <conditionalFormatting sqref="D24:D25">
    <cfRule type="expression" dxfId="42" priority="4">
      <formula>D24=1</formula>
    </cfRule>
  </conditionalFormatting>
  <conditionalFormatting sqref="D26:D64">
    <cfRule type="expression" dxfId="41" priority="3">
      <formula>D26=1</formula>
    </cfRule>
  </conditionalFormatting>
  <conditionalFormatting sqref="L3:L9">
    <cfRule type="duplicateValues" dxfId="40" priority="2"/>
  </conditionalFormatting>
  <conditionalFormatting sqref="M3:M9">
    <cfRule type="duplicateValues" dxfId="39" priority="1"/>
  </conditionalFormatting>
  <dataValidations disablePrompts="1" count="1">
    <dataValidation type="list" allowBlank="1" showInputMessage="1" showErrorMessage="1" sqref="P66:Q66 P68:Q68" xr:uid="{00000000-0002-0000-0E00-000000000000}">
      <formula1>teams</formula1>
    </dataValidation>
  </dataValidations>
  <printOptions horizontalCentered="1"/>
  <pageMargins left="0.78740157480314965" right="0.59055118110236227" top="0.39370078740157483" bottom="0.39370078740157483" header="0.19685039370078741" footer="0.19685039370078741"/>
  <pageSetup scale="71" orientation="portrait"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grp08x1">
    <tabColor theme="9"/>
    <outlinePr showOutlineSymbols="0"/>
  </sheetPr>
  <dimension ref="A1:X56"/>
  <sheetViews>
    <sheetView showGridLines="0" showRowColHeaders="0" showOutlineSymbols="0" topLeftCell="N11" zoomScaleNormal="100" zoomScaleSheetLayoutView="70" workbookViewId="0">
      <selection activeCell="N11" sqref="N11"/>
    </sheetView>
  </sheetViews>
  <sheetFormatPr defaultColWidth="9" defaultRowHeight="12.6" outlineLevelRow="1" outlineLevelCol="1" x14ac:dyDescent="0.2"/>
  <cols>
    <col min="1" max="1" width="10.08984375" hidden="1" customWidth="1" outlineLevel="1"/>
    <col min="2" max="2" width="9" hidden="1" customWidth="1" outlineLevel="1"/>
    <col min="3" max="3" width="10.26953125" hidden="1" customWidth="1" outlineLevel="1"/>
    <col min="4" max="7" width="9" hidden="1" customWidth="1" outlineLevel="1"/>
    <col min="8" max="8" width="7.08984375" hidden="1" customWidth="1" outlineLevel="1"/>
    <col min="9" max="9" width="9" hidden="1" customWidth="1" outlineLevel="1"/>
    <col min="10" max="10" width="5.6328125" hidden="1" customWidth="1" outlineLevel="1"/>
    <col min="11" max="11" width="9.26953125" hidden="1" customWidth="1" outlineLevel="1"/>
    <col min="12" max="12" width="5.36328125" hidden="1" customWidth="1" outlineLevel="1"/>
    <col min="13" max="13" width="3.08984375" hidden="1" customWidth="1" outlineLevel="1"/>
    <col min="14" max="14" width="3.08984375" customWidth="1" collapsed="1"/>
    <col min="15" max="15" width="6" style="13" customWidth="1"/>
    <col min="16" max="17" width="20.453125" style="13" customWidth="1"/>
    <col min="18" max="18" width="9.6328125" style="13" customWidth="1"/>
    <col min="19" max="19" width="8.6328125" customWidth="1"/>
    <col min="20" max="20" width="8.453125" customWidth="1"/>
    <col min="21" max="24" width="6.26953125" customWidth="1"/>
    <col min="25" max="25" width="12" bestFit="1" customWidth="1"/>
  </cols>
  <sheetData>
    <row r="1" spans="1:24" hidden="1" outlineLevel="1" x14ac:dyDescent="0.2">
      <c r="A1" s="184" t="s">
        <v>201</v>
      </c>
      <c r="C1" t="s">
        <v>179</v>
      </c>
      <c r="G1" t="s">
        <v>186</v>
      </c>
      <c r="L1" t="s">
        <v>192</v>
      </c>
      <c r="O1"/>
      <c r="P1"/>
      <c r="Q1"/>
      <c r="R1"/>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c r="O2"/>
      <c r="P2"/>
      <c r="Q2"/>
      <c r="R2"/>
    </row>
    <row r="3" spans="1:24" hidden="1" outlineLevel="1" x14ac:dyDescent="0.2">
      <c r="A3" s="103">
        <v>1</v>
      </c>
      <c r="B3" s="103" t="str">
        <f t="shared" ref="B3:B10" si="0">INDEX(xTeams,A3,1)</f>
        <v>Assens</v>
      </c>
      <c r="C3" s="96">
        <f t="shared" ref="C3:C10" ca="1" si="1">SUMIF(team1,teams,goals1)+SUMIF(team2,teams,goals2)</f>
        <v>0</v>
      </c>
      <c r="D3" s="96">
        <f t="shared" ref="D3:D10" ca="1" si="2">SUMIF(team1,teams,goals2)+SUMIF(team2,teams,goals1)</f>
        <v>0</v>
      </c>
      <c r="E3" s="104">
        <f ca="1">SUMIFS(
   points1,team1,teams
) +
  SUMIFS(points2,team2,teams)</f>
        <v>0</v>
      </c>
      <c r="F3" s="96">
        <f t="shared" ref="F3:F10" ca="1" si="3">C3-D3</f>
        <v>0</v>
      </c>
      <c r="G3" s="96">
        <f t="shared" ref="G3:G10" ca="1" si="4">COUNTIFS(team1,$B3,points1,"&gt;=0")+COUNTIFS(team2,$B3,points2,"&gt;=0")</f>
        <v>0</v>
      </c>
      <c r="H3" s="105">
        <f ca="1">IF(G3=0,1,0)</f>
        <v>1</v>
      </c>
      <c r="I3" s="105">
        <f ca="1">RANK($E3,$E$3:$E$10,0)</f>
        <v>1</v>
      </c>
      <c r="J3" s="98">
        <f t="shared" ref="J3:J10" ca="1" si="5">RANK($F3,$F$3:$F$10,0)/10</f>
        <v>0.1</v>
      </c>
      <c r="K3" s="99">
        <f t="shared" ref="K3:K10" ca="1" si="6">RANK($C3,$C$3:$C$10,0)/100</f>
        <v>0.01</v>
      </c>
      <c r="L3" s="99">
        <f ca="1">SUM(H3:K3)</f>
        <v>2.11</v>
      </c>
      <c r="M3" s="96">
        <f ca="1">RANK($L3,$L$3:$L$10,1) + COUNTIF($L$3:$L3,$L3)-1</f>
        <v>1</v>
      </c>
      <c r="O3"/>
      <c r="P3"/>
      <c r="Q3"/>
      <c r="R3"/>
    </row>
    <row r="4" spans="1:24" hidden="1" outlineLevel="1" x14ac:dyDescent="0.2">
      <c r="A4" s="103">
        <v>2</v>
      </c>
      <c r="B4" s="103" t="str">
        <f t="shared" si="0"/>
        <v>Bogense</v>
      </c>
      <c r="C4" s="96">
        <f t="shared" ca="1" si="1"/>
        <v>0</v>
      </c>
      <c r="D4" s="96">
        <f t="shared" ca="1" si="2"/>
        <v>0</v>
      </c>
      <c r="E4" s="104">
        <f t="shared" ref="E4:E10" ca="1" si="7">SUMIFS(points1,team1,teams)+SUMIFS(points2,team2,teams)</f>
        <v>0</v>
      </c>
      <c r="F4" s="96">
        <f t="shared" ca="1" si="3"/>
        <v>0</v>
      </c>
      <c r="G4" s="96">
        <f t="shared" ca="1" si="4"/>
        <v>0</v>
      </c>
      <c r="H4" s="105">
        <f t="shared" ref="H4:H10" ca="1" si="8">IF(G4=0,1,0)</f>
        <v>1</v>
      </c>
      <c r="I4" s="105">
        <f t="shared" ref="I4:I10" ca="1" si="9">RANK($E4,$E$3:$E$10,0)</f>
        <v>1</v>
      </c>
      <c r="J4" s="98">
        <f t="shared" ca="1" si="5"/>
        <v>0.1</v>
      </c>
      <c r="K4" s="99">
        <f t="shared" ca="1" si="6"/>
        <v>0.01</v>
      </c>
      <c r="L4" s="99">
        <f t="shared" ref="L4:L10" ca="1" si="10">SUM(H4:K4)</f>
        <v>2.11</v>
      </c>
      <c r="M4" s="96">
        <f ca="1">RANK($L4,$L$3:$L$10,1) + COUNTIF($L$3:$L4,$L4)-1</f>
        <v>2</v>
      </c>
      <c r="O4"/>
      <c r="P4"/>
      <c r="Q4"/>
      <c r="R4"/>
    </row>
    <row r="5" spans="1:24" hidden="1" outlineLevel="1" x14ac:dyDescent="0.2">
      <c r="A5" s="103">
        <v>3</v>
      </c>
      <c r="B5" s="103" t="str">
        <f t="shared" si="0"/>
        <v>Christiansfelt</v>
      </c>
      <c r="C5" s="96">
        <f t="shared" ca="1" si="1"/>
        <v>0</v>
      </c>
      <c r="D5" s="96">
        <f t="shared" ca="1" si="2"/>
        <v>0</v>
      </c>
      <c r="E5" s="104">
        <f t="shared" ca="1" si="7"/>
        <v>0</v>
      </c>
      <c r="F5" s="96">
        <f t="shared" ca="1" si="3"/>
        <v>0</v>
      </c>
      <c r="G5" s="96">
        <f t="shared" ca="1" si="4"/>
        <v>0</v>
      </c>
      <c r="H5" s="105">
        <f t="shared" ca="1" si="8"/>
        <v>1</v>
      </c>
      <c r="I5" s="105">
        <f t="shared" ca="1" si="9"/>
        <v>1</v>
      </c>
      <c r="J5" s="98">
        <f t="shared" ca="1" si="5"/>
        <v>0.1</v>
      </c>
      <c r="K5" s="99">
        <f t="shared" ca="1" si="6"/>
        <v>0.01</v>
      </c>
      <c r="L5" s="99">
        <f t="shared" ca="1" si="10"/>
        <v>2.11</v>
      </c>
      <c r="M5" s="96">
        <f ca="1">RANK($L5,$L$3:$L$10,1) + COUNTIF($L$3:$L5,$L5)-1</f>
        <v>3</v>
      </c>
      <c r="O5"/>
      <c r="P5"/>
      <c r="Q5"/>
      <c r="R5"/>
    </row>
    <row r="6" spans="1:24" hidden="1" outlineLevel="1" x14ac:dyDescent="0.2">
      <c r="A6" s="103">
        <v>4</v>
      </c>
      <c r="B6" s="103" t="str">
        <f t="shared" si="0"/>
        <v>Dragør</v>
      </c>
      <c r="C6" s="96">
        <f t="shared" ca="1" si="1"/>
        <v>0</v>
      </c>
      <c r="D6" s="96">
        <f t="shared" ca="1" si="2"/>
        <v>0</v>
      </c>
      <c r="E6" s="104">
        <f t="shared" ca="1" si="7"/>
        <v>0</v>
      </c>
      <c r="F6" s="96">
        <f t="shared" ca="1" si="3"/>
        <v>0</v>
      </c>
      <c r="G6" s="96">
        <f t="shared" ca="1" si="4"/>
        <v>0</v>
      </c>
      <c r="H6" s="105">
        <f t="shared" ca="1" si="8"/>
        <v>1</v>
      </c>
      <c r="I6" s="105">
        <f t="shared" ca="1" si="9"/>
        <v>1</v>
      </c>
      <c r="J6" s="98">
        <f t="shared" ca="1" si="5"/>
        <v>0.1</v>
      </c>
      <c r="K6" s="99">
        <f t="shared" ca="1" si="6"/>
        <v>0.01</v>
      </c>
      <c r="L6" s="99">
        <f t="shared" ca="1" si="10"/>
        <v>2.11</v>
      </c>
      <c r="M6" s="96">
        <f ca="1">RANK($L6,$L$3:$L$10,1) + COUNTIF($L$3:$L6,$L6)-1</f>
        <v>4</v>
      </c>
      <c r="O6"/>
      <c r="P6"/>
      <c r="Q6"/>
      <c r="R6"/>
    </row>
    <row r="7" spans="1:24" hidden="1" outlineLevel="1" x14ac:dyDescent="0.2">
      <c r="A7" s="103">
        <v>5</v>
      </c>
      <c r="B7" s="103" t="str">
        <f t="shared" si="0"/>
        <v>Ejby</v>
      </c>
      <c r="C7" s="96">
        <f t="shared" ca="1" si="1"/>
        <v>0</v>
      </c>
      <c r="D7" s="96">
        <f t="shared" ca="1" si="2"/>
        <v>0</v>
      </c>
      <c r="E7" s="104">
        <f t="shared" ca="1" si="7"/>
        <v>0</v>
      </c>
      <c r="F7" s="96">
        <f t="shared" ca="1" si="3"/>
        <v>0</v>
      </c>
      <c r="G7" s="96">
        <f t="shared" ca="1" si="4"/>
        <v>0</v>
      </c>
      <c r="H7" s="105">
        <f t="shared" ca="1" si="8"/>
        <v>1</v>
      </c>
      <c r="I7" s="105">
        <f t="shared" ca="1" si="9"/>
        <v>1</v>
      </c>
      <c r="J7" s="98">
        <f t="shared" ca="1" si="5"/>
        <v>0.1</v>
      </c>
      <c r="K7" s="99">
        <f t="shared" ca="1" si="6"/>
        <v>0.01</v>
      </c>
      <c r="L7" s="99">
        <f t="shared" ca="1" si="10"/>
        <v>2.11</v>
      </c>
      <c r="M7" s="96">
        <f ca="1">RANK($L7,$L$3:$L$10,1) + COUNTIF($L$3:$L7,$L7)-1</f>
        <v>5</v>
      </c>
      <c r="O7"/>
      <c r="P7"/>
      <c r="Q7"/>
      <c r="R7"/>
    </row>
    <row r="8" spans="1:24" hidden="1" outlineLevel="1" x14ac:dyDescent="0.2">
      <c r="A8" s="103">
        <v>6</v>
      </c>
      <c r="B8" s="103" t="str">
        <f t="shared" si="0"/>
        <v>Fjerritslev</v>
      </c>
      <c r="C8" s="96">
        <f t="shared" ca="1" si="1"/>
        <v>0</v>
      </c>
      <c r="D8" s="96">
        <f t="shared" ca="1" si="2"/>
        <v>0</v>
      </c>
      <c r="E8" s="104">
        <f t="shared" ca="1" si="7"/>
        <v>0</v>
      </c>
      <c r="F8" s="96">
        <f t="shared" ca="1" si="3"/>
        <v>0</v>
      </c>
      <c r="G8" s="96">
        <f t="shared" ca="1" si="4"/>
        <v>0</v>
      </c>
      <c r="H8" s="105">
        <f t="shared" ca="1" si="8"/>
        <v>1</v>
      </c>
      <c r="I8" s="105">
        <f t="shared" ca="1" si="9"/>
        <v>1</v>
      </c>
      <c r="J8" s="98">
        <f t="shared" ca="1" si="5"/>
        <v>0.1</v>
      </c>
      <c r="K8" s="99">
        <f t="shared" ca="1" si="6"/>
        <v>0.01</v>
      </c>
      <c r="L8" s="99">
        <f t="shared" ca="1" si="10"/>
        <v>2.11</v>
      </c>
      <c r="M8" s="96">
        <f ca="1">RANK($L8,$L$3:$L$10,1) + COUNTIF($L$3:$L8,$L8)-1</f>
        <v>6</v>
      </c>
      <c r="O8"/>
      <c r="P8"/>
      <c r="Q8"/>
      <c r="R8"/>
    </row>
    <row r="9" spans="1:24" hidden="1" outlineLevel="1" x14ac:dyDescent="0.2">
      <c r="A9" s="103">
        <v>7</v>
      </c>
      <c r="B9" s="103" t="str">
        <f t="shared" si="0"/>
        <v>Glamsbjerg</v>
      </c>
      <c r="C9" s="96">
        <f t="shared" ca="1" si="1"/>
        <v>0</v>
      </c>
      <c r="D9" s="96">
        <f t="shared" ca="1" si="2"/>
        <v>0</v>
      </c>
      <c r="E9" s="104">
        <f t="shared" ca="1" si="7"/>
        <v>0</v>
      </c>
      <c r="F9" s="96">
        <f t="shared" ca="1" si="3"/>
        <v>0</v>
      </c>
      <c r="G9" s="96">
        <f t="shared" ca="1" si="4"/>
        <v>0</v>
      </c>
      <c r="H9" s="105">
        <f t="shared" ca="1" si="8"/>
        <v>1</v>
      </c>
      <c r="I9" s="105">
        <f t="shared" ca="1" si="9"/>
        <v>1</v>
      </c>
      <c r="J9" s="98">
        <f t="shared" ca="1" si="5"/>
        <v>0.1</v>
      </c>
      <c r="K9" s="99">
        <f t="shared" ca="1" si="6"/>
        <v>0.01</v>
      </c>
      <c r="L9" s="99">
        <f t="shared" ca="1" si="10"/>
        <v>2.11</v>
      </c>
      <c r="M9" s="96">
        <f ca="1">RANK($L9,$L$3:$L$10,1) + COUNTIF($L$3:$L9,$L9)-1</f>
        <v>7</v>
      </c>
      <c r="O9"/>
      <c r="P9"/>
      <c r="Q9"/>
      <c r="R9"/>
    </row>
    <row r="10" spans="1:24" hidden="1" outlineLevel="1" x14ac:dyDescent="0.2">
      <c r="A10" s="103">
        <v>8</v>
      </c>
      <c r="B10" s="103" t="str">
        <f t="shared" si="0"/>
        <v>Holeby</v>
      </c>
      <c r="C10" s="96">
        <f t="shared" ca="1" si="1"/>
        <v>0</v>
      </c>
      <c r="D10" s="96">
        <f t="shared" ca="1" si="2"/>
        <v>0</v>
      </c>
      <c r="E10" s="104">
        <f t="shared" ca="1" si="7"/>
        <v>0</v>
      </c>
      <c r="F10" s="96">
        <f t="shared" ca="1" si="3"/>
        <v>0</v>
      </c>
      <c r="G10" s="96">
        <f t="shared" ca="1" si="4"/>
        <v>0</v>
      </c>
      <c r="H10" s="105">
        <f t="shared" ca="1" si="8"/>
        <v>1</v>
      </c>
      <c r="I10" s="105">
        <f t="shared" ca="1" si="9"/>
        <v>1</v>
      </c>
      <c r="J10" s="98">
        <f t="shared" ca="1" si="5"/>
        <v>0.1</v>
      </c>
      <c r="K10" s="99">
        <f t="shared" ca="1" si="6"/>
        <v>0.01</v>
      </c>
      <c r="L10" s="99">
        <f t="shared" ca="1" si="10"/>
        <v>2.11</v>
      </c>
      <c r="M10" s="96">
        <f ca="1">RANK($L10,$L$3:$L$10,1) + COUNTIF($L$3:$L10,$L10)-1</f>
        <v>8</v>
      </c>
      <c r="O10"/>
      <c r="P10"/>
      <c r="Q10"/>
      <c r="R10"/>
    </row>
    <row r="11" spans="1:24" ht="13.2" collapsed="1" thickBot="1" x14ac:dyDescent="0.25">
      <c r="O11"/>
      <c r="P11"/>
      <c r="Q11"/>
      <c r="R11"/>
    </row>
    <row r="12" spans="1:24" s="4" customFormat="1" ht="24" thickBot="1" x14ac:dyDescent="0.5">
      <c r="A12" s="42" t="s">
        <v>168</v>
      </c>
      <c r="B12" s="97">
        <v>8</v>
      </c>
      <c r="C12" s="72"/>
      <c r="D12" s="73" t="s">
        <v>65</v>
      </c>
      <c r="E12" s="97">
        <f>(B12/2)*(B12-1)</f>
        <v>28</v>
      </c>
      <c r="F12"/>
      <c r="G12"/>
      <c r="H12"/>
      <c r="I12"/>
      <c r="N12"/>
      <c r="O12" s="75" t="str">
        <f>TurneringsNavn</f>
        <v>Forårsstævne</v>
      </c>
      <c r="P12" s="5"/>
      <c r="Q12" s="5"/>
      <c r="R12" s="5"/>
      <c r="S12" s="5"/>
      <c r="T12" s="5"/>
      <c r="U12" s="5"/>
      <c r="V12" s="5"/>
      <c r="W12" s="5"/>
      <c r="X12" s="5"/>
    </row>
    <row r="13" spans="1:24" ht="6.75" customHeight="1" x14ac:dyDescent="0.2">
      <c r="O13"/>
      <c r="P13"/>
      <c r="Q13"/>
      <c r="R13"/>
    </row>
    <row r="14" spans="1:24" ht="13.8" x14ac:dyDescent="0.25">
      <c r="A14" s="35" t="s">
        <v>200</v>
      </c>
      <c r="B14" s="35" t="s">
        <v>66</v>
      </c>
      <c r="C14" s="35" t="s">
        <v>67</v>
      </c>
      <c r="D14" s="35" t="s">
        <v>68</v>
      </c>
      <c r="E14" s="35" t="s">
        <v>69</v>
      </c>
      <c r="F14" s="35" t="s">
        <v>70</v>
      </c>
      <c r="G14" s="35" t="s">
        <v>71</v>
      </c>
      <c r="H14" s="35" t="s">
        <v>72</v>
      </c>
      <c r="I14" s="35" t="s">
        <v>73</v>
      </c>
      <c r="J14" s="7" t="s">
        <v>2</v>
      </c>
      <c r="K14" s="6" t="s">
        <v>3</v>
      </c>
      <c r="L14" s="6" t="s">
        <v>4</v>
      </c>
      <c r="M14" s="6" t="s">
        <v>167</v>
      </c>
      <c r="O14" s="128" t="s">
        <v>198</v>
      </c>
      <c r="P14" s="129" t="s">
        <v>176</v>
      </c>
      <c r="Q14" s="129"/>
      <c r="R14" s="130" t="s">
        <v>5</v>
      </c>
      <c r="S14" s="128" t="s">
        <v>6</v>
      </c>
      <c r="T14" s="128" t="s">
        <v>7</v>
      </c>
      <c r="U14" s="128" t="s">
        <v>8</v>
      </c>
      <c r="V14" s="128" t="s">
        <v>9</v>
      </c>
      <c r="W14" s="128" t="s">
        <v>10</v>
      </c>
      <c r="X14" s="131" t="s">
        <v>177</v>
      </c>
    </row>
    <row r="15" spans="1:24" ht="17.399999999999999" x14ac:dyDescent="0.35">
      <c r="A15" s="35" t="s">
        <v>66</v>
      </c>
      <c r="B15" s="36"/>
      <c r="C15" s="9">
        <v>25</v>
      </c>
      <c r="D15" s="9"/>
      <c r="E15" s="9">
        <v>17</v>
      </c>
      <c r="F15" s="9"/>
      <c r="G15" s="9">
        <v>9</v>
      </c>
      <c r="H15" s="9"/>
      <c r="I15" s="9">
        <v>1</v>
      </c>
      <c r="J15" s="10" t="str">
        <f>IFERROR(CHOOSE((#REF!=H$56)*1+(#REF!=I$56)*2+(#REF!=H$54)*3,"Guld","Sølv","Bronze"),"")</f>
        <v/>
      </c>
      <c r="K15" s="11">
        <f t="shared" ref="K15:K22" ca="1" si="11">COUNTIF(team1,$B3)</f>
        <v>4</v>
      </c>
      <c r="L15" s="11">
        <f t="shared" ref="L15:L22" ca="1" si="12">COUNTIF(team2,$B3)</f>
        <v>3</v>
      </c>
      <c r="M15" s="11">
        <f ca="1">SUM(K15:L15)</f>
        <v>7</v>
      </c>
      <c r="O15" s="119">
        <v>1</v>
      </c>
      <c r="P15" s="120" t="str">
        <f ca="1" xml:space="preserve">  INDEX(teams,MATCH(teamNum,actRank,0))</f>
        <v>Assens</v>
      </c>
      <c r="Q15" s="120"/>
      <c r="R15" s="127">
        <f t="shared" ref="R15:R22" ca="1" si="13">COUNTIFS(team1,teamName,points1,"&gt;=0")+COUNTIFS(team2,teamName,points2,"&gt;=0")</f>
        <v>0</v>
      </c>
      <c r="S15" s="143">
        <f t="shared" ref="S15:S22" ca="1" si="14">COUNTIFS(team1,teamName,points1,ptv)+COUNTIFS(team2,teamName,points2,ptv)</f>
        <v>0</v>
      </c>
      <c r="T15" s="121">
        <f t="shared" ref="T15:T22" ca="1" si="15">COUNTIFS(team1,teamName,points1,ptu)+COUNTIFS(team2,teamName,points2,ptu)</f>
        <v>0</v>
      </c>
      <c r="U15" s="121">
        <f t="shared" ref="U15:U22" ca="1" si="16">COUNTIFS(team1,teamName,points1,ptt)+COUNTIFS(team2,teamName,points2,ptt)</f>
        <v>0</v>
      </c>
      <c r="V15" s="143">
        <f t="shared" ref="V15:V22" ca="1" si="17">SUMIF(team1,teamName,goals1)+SUMIF(team2,teamName,goals2)</f>
        <v>0</v>
      </c>
      <c r="W15" s="121">
        <f t="shared" ref="W15:W22" ca="1" si="18">SUMIF(team1,teamName,goals2)+SUMIF(team2,teamName,goals1)</f>
        <v>0</v>
      </c>
      <c r="X15" s="144">
        <f t="shared" ref="X15:X22" ca="1" si="19">SUMIFS(points1,team1,teamName)+SUMIFS(points2,team2,teamName)</f>
        <v>0</v>
      </c>
    </row>
    <row r="16" spans="1:24" ht="17.399999999999999" x14ac:dyDescent="0.35">
      <c r="A16" s="35" t="s">
        <v>67</v>
      </c>
      <c r="B16" s="9"/>
      <c r="C16" s="36"/>
      <c r="D16" s="9">
        <v>12</v>
      </c>
      <c r="E16" s="9"/>
      <c r="F16" s="9">
        <v>7</v>
      </c>
      <c r="G16" s="9"/>
      <c r="H16" s="9">
        <v>2</v>
      </c>
      <c r="I16" s="9"/>
      <c r="J16" s="10" t="str">
        <f>IFERROR(CHOOSE((#REF!=H$56)*1+(#REF!=I$56)*2+(#REF!=H$54)*3,"Guld","Sølv","Bronze"),"")</f>
        <v/>
      </c>
      <c r="K16" s="11">
        <f t="shared" ca="1" si="11"/>
        <v>3</v>
      </c>
      <c r="L16" s="11">
        <f t="shared" ca="1" si="12"/>
        <v>4</v>
      </c>
      <c r="M16" s="11">
        <f t="shared" ref="M16:M22" ca="1" si="20">SUM(K16:L16)</f>
        <v>7</v>
      </c>
      <c r="O16" s="119">
        <v>2</v>
      </c>
      <c r="P16" s="120" t="str">
        <f t="shared" ref="P16:P22" ca="1" si="21" xml:space="preserve">  INDEX(teams,MATCH(teamNum,actRank,0))</f>
        <v>Bogense</v>
      </c>
      <c r="Q16" s="120"/>
      <c r="R16" s="127">
        <f t="shared" ca="1" si="13"/>
        <v>0</v>
      </c>
      <c r="S16" s="143">
        <f t="shared" ca="1" si="14"/>
        <v>0</v>
      </c>
      <c r="T16" s="121">
        <f t="shared" ca="1" si="15"/>
        <v>0</v>
      </c>
      <c r="U16" s="121">
        <f t="shared" ca="1" si="16"/>
        <v>0</v>
      </c>
      <c r="V16" s="143">
        <f t="shared" ca="1" si="17"/>
        <v>0</v>
      </c>
      <c r="W16" s="121">
        <f t="shared" ca="1" si="18"/>
        <v>0</v>
      </c>
      <c r="X16" s="144">
        <f t="shared" ca="1" si="19"/>
        <v>0</v>
      </c>
    </row>
    <row r="17" spans="1:24" ht="17.399999999999999" x14ac:dyDescent="0.35">
      <c r="A17" s="35" t="s">
        <v>68</v>
      </c>
      <c r="B17" s="9">
        <v>21</v>
      </c>
      <c r="C17" s="9"/>
      <c r="D17" s="36"/>
      <c r="E17" s="9">
        <v>8</v>
      </c>
      <c r="F17" s="9"/>
      <c r="G17" s="9">
        <v>3</v>
      </c>
      <c r="H17" s="9"/>
      <c r="I17" s="9">
        <v>26</v>
      </c>
      <c r="J17" s="10" t="str">
        <f>IFERROR(CHOOSE((#REF!=H$56)*1+(#REF!=I$56)*2+(#REF!=H$54)*3,"Guld","Sølv","Bronze"),"")</f>
        <v/>
      </c>
      <c r="K17" s="11">
        <f t="shared" ca="1" si="11"/>
        <v>4</v>
      </c>
      <c r="L17" s="11">
        <f t="shared" ca="1" si="12"/>
        <v>3</v>
      </c>
      <c r="M17" s="11">
        <f t="shared" ca="1" si="20"/>
        <v>7</v>
      </c>
      <c r="O17" s="119">
        <v>3</v>
      </c>
      <c r="P17" s="120" t="str">
        <f t="shared" ca="1" si="21"/>
        <v>Christiansfelt</v>
      </c>
      <c r="Q17" s="120"/>
      <c r="R17" s="127">
        <f t="shared" ca="1" si="13"/>
        <v>0</v>
      </c>
      <c r="S17" s="143">
        <f t="shared" ca="1" si="14"/>
        <v>0</v>
      </c>
      <c r="T17" s="121">
        <f t="shared" ca="1" si="15"/>
        <v>0</v>
      </c>
      <c r="U17" s="121">
        <f t="shared" ca="1" si="16"/>
        <v>0</v>
      </c>
      <c r="V17" s="143">
        <f t="shared" ca="1" si="17"/>
        <v>0</v>
      </c>
      <c r="W17" s="121">
        <f t="shared" ca="1" si="18"/>
        <v>0</v>
      </c>
      <c r="X17" s="144">
        <f t="shared" ca="1" si="19"/>
        <v>0</v>
      </c>
    </row>
    <row r="18" spans="1:24" ht="17.399999999999999" x14ac:dyDescent="0.35">
      <c r="A18" s="35" t="s">
        <v>69</v>
      </c>
      <c r="B18" s="9"/>
      <c r="C18" s="9">
        <v>22</v>
      </c>
      <c r="D18" s="9"/>
      <c r="E18" s="36"/>
      <c r="F18" s="9">
        <v>4</v>
      </c>
      <c r="G18" s="9"/>
      <c r="H18" s="9">
        <v>27</v>
      </c>
      <c r="I18" s="9"/>
      <c r="J18" s="10" t="str">
        <f>IFERROR(CHOOSE((#REF!=H$56)*1+(#REF!=I$56)*2+(#REF!=H$54)*3,"Guld","Sølv","Bronze"),"")</f>
        <v/>
      </c>
      <c r="K18" s="11">
        <f t="shared" ca="1" si="11"/>
        <v>3</v>
      </c>
      <c r="L18" s="11">
        <f t="shared" ca="1" si="12"/>
        <v>4</v>
      </c>
      <c r="M18" s="11">
        <f t="shared" ca="1" si="20"/>
        <v>7</v>
      </c>
      <c r="O18" s="119">
        <v>4</v>
      </c>
      <c r="P18" s="120" t="str">
        <f t="shared" ca="1" si="21"/>
        <v>Dragør</v>
      </c>
      <c r="Q18" s="120"/>
      <c r="R18" s="127">
        <f t="shared" ca="1" si="13"/>
        <v>0</v>
      </c>
      <c r="S18" s="143">
        <f t="shared" ca="1" si="14"/>
        <v>0</v>
      </c>
      <c r="T18" s="121">
        <f t="shared" ca="1" si="15"/>
        <v>0</v>
      </c>
      <c r="U18" s="121">
        <f t="shared" ca="1" si="16"/>
        <v>0</v>
      </c>
      <c r="V18" s="143">
        <f t="shared" ca="1" si="17"/>
        <v>0</v>
      </c>
      <c r="W18" s="121">
        <f t="shared" ca="1" si="18"/>
        <v>0</v>
      </c>
      <c r="X18" s="144">
        <f t="shared" ca="1" si="19"/>
        <v>0</v>
      </c>
    </row>
    <row r="19" spans="1:24" ht="17.399999999999999" x14ac:dyDescent="0.35">
      <c r="A19" s="35" t="s">
        <v>70</v>
      </c>
      <c r="B19" s="9">
        <v>13</v>
      </c>
      <c r="C19" s="9"/>
      <c r="D19" s="9">
        <v>18</v>
      </c>
      <c r="E19" s="9"/>
      <c r="F19" s="36"/>
      <c r="G19" s="9">
        <v>28</v>
      </c>
      <c r="H19" s="9"/>
      <c r="I19" s="9">
        <v>23</v>
      </c>
      <c r="J19" s="10" t="str">
        <f>IFERROR(CHOOSE((#REF!=H$56)*1+(#REF!=I$56)*2+(#REF!=H$54)*3,"Guld","Sølv","Bronze"),"")</f>
        <v/>
      </c>
      <c r="K19" s="11">
        <f t="shared" ca="1" si="11"/>
        <v>4</v>
      </c>
      <c r="L19" s="11">
        <f t="shared" ca="1" si="12"/>
        <v>3</v>
      </c>
      <c r="M19" s="11">
        <f t="shared" ca="1" si="20"/>
        <v>7</v>
      </c>
      <c r="O19" s="119">
        <v>5</v>
      </c>
      <c r="P19" s="120" t="str">
        <f t="shared" ca="1" si="21"/>
        <v>Ejby</v>
      </c>
      <c r="Q19" s="120"/>
      <c r="R19" s="127">
        <f t="shared" ca="1" si="13"/>
        <v>0</v>
      </c>
      <c r="S19" s="143">
        <f t="shared" ca="1" si="14"/>
        <v>0</v>
      </c>
      <c r="T19" s="121">
        <f t="shared" ca="1" si="15"/>
        <v>0</v>
      </c>
      <c r="U19" s="121">
        <f t="shared" ca="1" si="16"/>
        <v>0</v>
      </c>
      <c r="V19" s="143">
        <f t="shared" ca="1" si="17"/>
        <v>0</v>
      </c>
      <c r="W19" s="121">
        <f t="shared" ca="1" si="18"/>
        <v>0</v>
      </c>
      <c r="X19" s="144">
        <f t="shared" ca="1" si="19"/>
        <v>0</v>
      </c>
    </row>
    <row r="20" spans="1:24" ht="17.399999999999999" x14ac:dyDescent="0.35">
      <c r="A20" s="35" t="s">
        <v>71</v>
      </c>
      <c r="B20" s="9"/>
      <c r="C20" s="9">
        <v>19</v>
      </c>
      <c r="D20" s="9"/>
      <c r="E20" s="9">
        <v>14</v>
      </c>
      <c r="F20" s="9"/>
      <c r="G20" s="36"/>
      <c r="H20" s="9">
        <v>24</v>
      </c>
      <c r="I20" s="9"/>
      <c r="J20" s="10"/>
      <c r="K20" s="11">
        <f t="shared" ca="1" si="11"/>
        <v>3</v>
      </c>
      <c r="L20" s="11">
        <f t="shared" ca="1" si="12"/>
        <v>4</v>
      </c>
      <c r="M20" s="11">
        <f t="shared" ca="1" si="20"/>
        <v>7</v>
      </c>
      <c r="O20" s="119">
        <v>6</v>
      </c>
      <c r="P20" s="120" t="str">
        <f t="shared" ca="1" si="21"/>
        <v>Fjerritslev</v>
      </c>
      <c r="Q20" s="120"/>
      <c r="R20" s="127">
        <f t="shared" ca="1" si="13"/>
        <v>0</v>
      </c>
      <c r="S20" s="143">
        <f t="shared" ca="1" si="14"/>
        <v>0</v>
      </c>
      <c r="T20" s="121">
        <f t="shared" ca="1" si="15"/>
        <v>0</v>
      </c>
      <c r="U20" s="121">
        <f t="shared" ca="1" si="16"/>
        <v>0</v>
      </c>
      <c r="V20" s="143">
        <f t="shared" ca="1" si="17"/>
        <v>0</v>
      </c>
      <c r="W20" s="121">
        <f t="shared" ca="1" si="18"/>
        <v>0</v>
      </c>
      <c r="X20" s="144">
        <f t="shared" ca="1" si="19"/>
        <v>0</v>
      </c>
    </row>
    <row r="21" spans="1:24" ht="17.399999999999999" x14ac:dyDescent="0.35">
      <c r="A21" s="35" t="s">
        <v>72</v>
      </c>
      <c r="B21" s="9">
        <v>5</v>
      </c>
      <c r="C21" s="9"/>
      <c r="D21" s="9">
        <v>15</v>
      </c>
      <c r="E21" s="9"/>
      <c r="F21" s="9">
        <v>10</v>
      </c>
      <c r="G21" s="9"/>
      <c r="H21" s="36"/>
      <c r="I21" s="9">
        <v>20</v>
      </c>
      <c r="J21" s="10"/>
      <c r="K21" s="11">
        <f t="shared" ca="1" si="11"/>
        <v>4</v>
      </c>
      <c r="L21" s="11">
        <f t="shared" ca="1" si="12"/>
        <v>3</v>
      </c>
      <c r="M21" s="11">
        <f t="shared" ca="1" si="20"/>
        <v>7</v>
      </c>
      <c r="O21" s="119">
        <v>7</v>
      </c>
      <c r="P21" s="120" t="str">
        <f t="shared" ca="1" si="21"/>
        <v>Glamsbjerg</v>
      </c>
      <c r="Q21" s="120"/>
      <c r="R21" s="127">
        <f t="shared" ca="1" si="13"/>
        <v>0</v>
      </c>
      <c r="S21" s="143">
        <f t="shared" ca="1" si="14"/>
        <v>0</v>
      </c>
      <c r="T21" s="121">
        <f t="shared" ca="1" si="15"/>
        <v>0</v>
      </c>
      <c r="U21" s="121">
        <f t="shared" ca="1" si="16"/>
        <v>0</v>
      </c>
      <c r="V21" s="143">
        <f t="shared" ca="1" si="17"/>
        <v>0</v>
      </c>
      <c r="W21" s="121">
        <f t="shared" ca="1" si="18"/>
        <v>0</v>
      </c>
      <c r="X21" s="144">
        <f t="shared" ca="1" si="19"/>
        <v>0</v>
      </c>
    </row>
    <row r="22" spans="1:24" ht="17.399999999999999" x14ac:dyDescent="0.35">
      <c r="A22" s="35" t="s">
        <v>73</v>
      </c>
      <c r="B22" s="9"/>
      <c r="C22" s="9">
        <v>16</v>
      </c>
      <c r="D22" s="9"/>
      <c r="E22" s="9">
        <v>11</v>
      </c>
      <c r="F22" s="9"/>
      <c r="G22" s="9">
        <v>6</v>
      </c>
      <c r="H22" s="9"/>
      <c r="I22" s="36"/>
      <c r="J22" s="10" t="str">
        <f>IFERROR(CHOOSE((#REF!=H$56)*1+(#REF!=I$56)*2+(#REF!=H$54)*3,"Guld","Sølv","Bronze"),"")</f>
        <v/>
      </c>
      <c r="K22" s="11">
        <f t="shared" ca="1" si="11"/>
        <v>3</v>
      </c>
      <c r="L22" s="11">
        <f t="shared" ca="1" si="12"/>
        <v>4</v>
      </c>
      <c r="M22" s="11">
        <f t="shared" ca="1" si="20"/>
        <v>7</v>
      </c>
      <c r="O22" s="119">
        <v>8</v>
      </c>
      <c r="P22" s="120" t="str">
        <f t="shared" ca="1" si="21"/>
        <v>Holeby</v>
      </c>
      <c r="Q22" s="120"/>
      <c r="R22" s="127">
        <f t="shared" ca="1" si="13"/>
        <v>0</v>
      </c>
      <c r="S22" s="143">
        <f t="shared" ca="1" si="14"/>
        <v>0</v>
      </c>
      <c r="T22" s="121">
        <f t="shared" ca="1" si="15"/>
        <v>0</v>
      </c>
      <c r="U22" s="121">
        <f t="shared" ca="1" si="16"/>
        <v>0</v>
      </c>
      <c r="V22" s="143">
        <f t="shared" ca="1" si="17"/>
        <v>0</v>
      </c>
      <c r="W22" s="121">
        <f t="shared" ca="1" si="18"/>
        <v>0</v>
      </c>
      <c r="X22" s="144">
        <f t="shared" ca="1" si="19"/>
        <v>0</v>
      </c>
    </row>
    <row r="23" spans="1:24" ht="12" customHeight="1" x14ac:dyDescent="0.2">
      <c r="A23" s="6"/>
      <c r="B23" s="37"/>
      <c r="C23" s="37"/>
      <c r="D23" s="37"/>
      <c r="E23" s="37"/>
      <c r="F23" s="37"/>
      <c r="G23" s="37"/>
      <c r="H23" s="37"/>
      <c r="I23" s="37"/>
      <c r="J23" s="37"/>
      <c r="K23" s="11"/>
      <c r="L23" s="11"/>
      <c r="O23"/>
      <c r="P23"/>
      <c r="Q23"/>
      <c r="R23"/>
    </row>
    <row r="24" spans="1:24" s="12" customFormat="1" ht="15" thickBot="1" x14ac:dyDescent="0.35">
      <c r="B24"/>
      <c r="C24" s="44" t="s">
        <v>17</v>
      </c>
      <c r="D24" s="45" t="s">
        <v>18</v>
      </c>
      <c r="E24" s="46" t="s">
        <v>19</v>
      </c>
      <c r="F24" s="47" t="s">
        <v>20</v>
      </c>
      <c r="G24" s="47" t="s">
        <v>21</v>
      </c>
      <c r="H24" s="47" t="s">
        <v>22</v>
      </c>
      <c r="I24" s="47" t="s">
        <v>23</v>
      </c>
      <c r="J24" s="48" t="s">
        <v>24</v>
      </c>
      <c r="K24" s="12" t="s">
        <v>25</v>
      </c>
      <c r="N24"/>
      <c r="O24" s="140" t="s">
        <v>5</v>
      </c>
      <c r="P24" s="139" t="s">
        <v>26</v>
      </c>
      <c r="Q24" s="139" t="s">
        <v>27</v>
      </c>
      <c r="R24" s="158" t="s">
        <v>25</v>
      </c>
      <c r="S24" s="158" t="s">
        <v>196</v>
      </c>
      <c r="T24" s="158" t="s">
        <v>195</v>
      </c>
      <c r="U24" s="159" t="s">
        <v>193</v>
      </c>
      <c r="V24" s="159" t="s">
        <v>194</v>
      </c>
      <c r="W24" s="138" t="s">
        <v>32</v>
      </c>
      <c r="X24" s="138" t="s">
        <v>32</v>
      </c>
    </row>
    <row r="25" spans="1:24" ht="17.399999999999999" x14ac:dyDescent="0.35">
      <c r="C25" s="50" t="s">
        <v>86</v>
      </c>
      <c r="D25" s="51"/>
      <c r="E25" s="50">
        <v>1</v>
      </c>
      <c r="F25" s="52">
        <f t="shared" ref="F25:F52" si="22">SUMPRODUCT((HxA=$E25)*(COLUMN(HxA)))-COLUMN(HxA)+1</f>
        <v>9</v>
      </c>
      <c r="G25" s="52">
        <f t="shared" ref="G25:G52" si="23">SUMPRODUCT((HxA=$E25)*(ROW(HxA)))-ROW(HxA)+1</f>
        <v>2</v>
      </c>
      <c r="H25" s="53" t="str">
        <f t="shared" ref="H25:H52" si="24">INDEX(HxA,G25,1)</f>
        <v>T_01</v>
      </c>
      <c r="I25" s="53" t="str">
        <f t="shared" ref="I25:I52" si="25">INDEX(HxA,1,F25)</f>
        <v>T_08</v>
      </c>
      <c r="J25" s="59">
        <v>0</v>
      </c>
      <c r="K25" s="55">
        <v>43832</v>
      </c>
      <c r="O25" s="122">
        <v>1</v>
      </c>
      <c r="P25" s="122" t="str">
        <f ca="1">INDIRECT(H25)</f>
        <v>Assens</v>
      </c>
      <c r="Q25" s="122" t="str">
        <f t="shared" ref="Q25:Q52" ca="1" si="26">INDIRECT(I25)</f>
        <v>Holeby</v>
      </c>
      <c r="R25" s="141"/>
      <c r="S25" s="142" t="s">
        <v>33</v>
      </c>
      <c r="T25" s="152"/>
      <c r="U25" s="153"/>
      <c r="V25" s="154"/>
      <c r="W25" s="121" t="str">
        <f t="shared" ref="W25:W52" si="27">IF(ISNUMBER(U25)*ISNUMBER(V25),IF(U25&gt;V25,ptv, IF(U25=V25,ptu,ptt)),"-")</f>
        <v>-</v>
      </c>
      <c r="X25" s="121" t="str">
        <f t="shared" ref="X25:X52" si="28">IF(ISNUMBER(U25)*ISNUMBER(V25),IF(W25=ptv,ptt,IF(W25=ptu,ptu,ptv)),"-")</f>
        <v>-</v>
      </c>
    </row>
    <row r="26" spans="1:24" ht="17.399999999999999" x14ac:dyDescent="0.35">
      <c r="C26" s="56" t="s">
        <v>83</v>
      </c>
      <c r="D26" s="57">
        <f t="shared" ref="D26:D52" si="29">OR(H26=H25,H26=I25,I26=H25,I26=I25)*1</f>
        <v>0</v>
      </c>
      <c r="E26" s="56">
        <v>2</v>
      </c>
      <c r="F26" s="58">
        <f t="shared" si="22"/>
        <v>8</v>
      </c>
      <c r="G26" s="58">
        <f t="shared" si="23"/>
        <v>3</v>
      </c>
      <c r="H26" s="59" t="str">
        <f t="shared" si="24"/>
        <v>T_02</v>
      </c>
      <c r="I26" s="59" t="str">
        <f t="shared" si="25"/>
        <v>T_07</v>
      </c>
      <c r="J26" s="59">
        <v>0</v>
      </c>
      <c r="K26" s="60">
        <f t="shared" ref="K26:K52" si="30">$K$25+J26</f>
        <v>43832</v>
      </c>
      <c r="O26" s="122">
        <v>2</v>
      </c>
      <c r="P26" s="122" t="str">
        <f t="shared" ref="P26:P52" ca="1" si="31">INDIRECT(H26)</f>
        <v>Bogense</v>
      </c>
      <c r="Q26" s="122" t="str">
        <f t="shared" ca="1" si="26"/>
        <v>Glamsbjerg</v>
      </c>
      <c r="R26" s="134"/>
      <c r="S26" s="123" t="str">
        <f>IFERROR(S25+mMin,"-")</f>
        <v>-</v>
      </c>
      <c r="T26" s="146"/>
      <c r="U26" s="147"/>
      <c r="V26" s="148"/>
      <c r="W26" s="121" t="str">
        <f t="shared" si="27"/>
        <v>-</v>
      </c>
      <c r="X26" s="121" t="str">
        <f t="shared" si="28"/>
        <v>-</v>
      </c>
    </row>
    <row r="27" spans="1:24" ht="17.399999999999999" x14ac:dyDescent="0.35">
      <c r="C27" s="56" t="s">
        <v>84</v>
      </c>
      <c r="D27" s="57">
        <f t="shared" si="29"/>
        <v>0</v>
      </c>
      <c r="E27" s="56">
        <v>3</v>
      </c>
      <c r="F27" s="58">
        <f t="shared" si="22"/>
        <v>7</v>
      </c>
      <c r="G27" s="58">
        <f t="shared" si="23"/>
        <v>4</v>
      </c>
      <c r="H27" s="59" t="str">
        <f t="shared" si="24"/>
        <v>T_03</v>
      </c>
      <c r="I27" s="59" t="str">
        <f t="shared" si="25"/>
        <v>T_06</v>
      </c>
      <c r="J27" s="59">
        <v>0</v>
      </c>
      <c r="K27" s="60">
        <f t="shared" si="30"/>
        <v>43832</v>
      </c>
      <c r="O27" s="122">
        <v>3</v>
      </c>
      <c r="P27" s="122" t="str">
        <f t="shared" ca="1" si="31"/>
        <v>Christiansfelt</v>
      </c>
      <c r="Q27" s="122" t="str">
        <f t="shared" ca="1" si="26"/>
        <v>Fjerritslev</v>
      </c>
      <c r="R27" s="134"/>
      <c r="S27" s="123" t="str">
        <f>IFERROR(S26+mMin,"-")</f>
        <v>-</v>
      </c>
      <c r="T27" s="146"/>
      <c r="U27" s="147"/>
      <c r="V27" s="148"/>
      <c r="W27" s="121" t="str">
        <f t="shared" si="27"/>
        <v>-</v>
      </c>
      <c r="X27" s="121" t="str">
        <f t="shared" si="28"/>
        <v>-</v>
      </c>
    </row>
    <row r="28" spans="1:24" ht="18" thickBot="1" x14ac:dyDescent="0.4">
      <c r="C28" s="56" t="s">
        <v>85</v>
      </c>
      <c r="D28" s="57">
        <f t="shared" si="29"/>
        <v>0</v>
      </c>
      <c r="E28" s="56">
        <v>4</v>
      </c>
      <c r="F28" s="58">
        <f t="shared" si="22"/>
        <v>6</v>
      </c>
      <c r="G28" s="58">
        <f t="shared" si="23"/>
        <v>5</v>
      </c>
      <c r="H28" s="59" t="str">
        <f t="shared" si="24"/>
        <v>T_04</v>
      </c>
      <c r="I28" s="59" t="str">
        <f t="shared" si="25"/>
        <v>T_05</v>
      </c>
      <c r="J28" s="59">
        <v>0</v>
      </c>
      <c r="K28" s="60">
        <f t="shared" si="30"/>
        <v>43832</v>
      </c>
      <c r="O28" s="124">
        <v>4</v>
      </c>
      <c r="P28" s="124" t="str">
        <f t="shared" ca="1" si="31"/>
        <v>Dragør</v>
      </c>
      <c r="Q28" s="124" t="str">
        <f t="shared" ca="1" si="26"/>
        <v>Ejby</v>
      </c>
      <c r="R28" s="135"/>
      <c r="S28" s="125" t="str">
        <f>IFERROR(S27+mMin,"-")</f>
        <v>-</v>
      </c>
      <c r="T28" s="149"/>
      <c r="U28" s="150"/>
      <c r="V28" s="151"/>
      <c r="W28" s="126" t="str">
        <f t="shared" si="27"/>
        <v>-</v>
      </c>
      <c r="X28" s="126" t="str">
        <f t="shared" si="28"/>
        <v>-</v>
      </c>
    </row>
    <row r="29" spans="1:24" ht="17.399999999999999" x14ac:dyDescent="0.35">
      <c r="C29" s="56" t="s">
        <v>91</v>
      </c>
      <c r="D29" s="57">
        <f t="shared" si="29"/>
        <v>0</v>
      </c>
      <c r="E29" s="56">
        <v>5</v>
      </c>
      <c r="F29" s="58">
        <f t="shared" si="22"/>
        <v>2</v>
      </c>
      <c r="G29" s="58">
        <f t="shared" si="23"/>
        <v>8</v>
      </c>
      <c r="H29" s="59" t="str">
        <f t="shared" si="24"/>
        <v>T_07</v>
      </c>
      <c r="I29" s="59" t="str">
        <f t="shared" si="25"/>
        <v>T_01</v>
      </c>
      <c r="J29" s="59">
        <v>1</v>
      </c>
      <c r="K29" s="60">
        <f t="shared" si="30"/>
        <v>43833</v>
      </c>
      <c r="O29" s="122">
        <v>5</v>
      </c>
      <c r="P29" s="122" t="str">
        <f t="shared" ca="1" si="31"/>
        <v>Glamsbjerg</v>
      </c>
      <c r="Q29" s="122" t="str">
        <f t="shared" ca="1" si="26"/>
        <v>Assens</v>
      </c>
      <c r="R29" s="134"/>
      <c r="S29" s="123" t="s">
        <v>33</v>
      </c>
      <c r="T29" s="146"/>
      <c r="U29" s="147"/>
      <c r="V29" s="148"/>
      <c r="W29" s="121" t="str">
        <f t="shared" si="27"/>
        <v>-</v>
      </c>
      <c r="X29" s="121" t="str">
        <f t="shared" si="28"/>
        <v>-</v>
      </c>
    </row>
    <row r="30" spans="1:24" ht="17.399999999999999" x14ac:dyDescent="0.35">
      <c r="C30" s="56" t="s">
        <v>92</v>
      </c>
      <c r="D30" s="57">
        <f t="shared" si="29"/>
        <v>0</v>
      </c>
      <c r="E30" s="56">
        <v>6</v>
      </c>
      <c r="F30" s="58">
        <f t="shared" si="22"/>
        <v>7</v>
      </c>
      <c r="G30" s="58">
        <f t="shared" si="23"/>
        <v>9</v>
      </c>
      <c r="H30" s="59" t="str">
        <f t="shared" si="24"/>
        <v>T_08</v>
      </c>
      <c r="I30" s="59" t="str">
        <f t="shared" si="25"/>
        <v>T_06</v>
      </c>
      <c r="J30" s="59">
        <v>1</v>
      </c>
      <c r="K30" s="60">
        <f t="shared" si="30"/>
        <v>43833</v>
      </c>
      <c r="O30" s="122">
        <v>6</v>
      </c>
      <c r="P30" s="122" t="str">
        <f t="shared" ca="1" si="31"/>
        <v>Holeby</v>
      </c>
      <c r="Q30" s="122" t="str">
        <f t="shared" ca="1" si="26"/>
        <v>Fjerritslev</v>
      </c>
      <c r="R30" s="134"/>
      <c r="S30" s="123" t="str">
        <f>IFERROR(S29+mMin,"-")</f>
        <v>-</v>
      </c>
      <c r="T30" s="146"/>
      <c r="U30" s="147"/>
      <c r="V30" s="148"/>
      <c r="W30" s="121" t="str">
        <f t="shared" si="27"/>
        <v>-</v>
      </c>
      <c r="X30" s="121" t="str">
        <f t="shared" si="28"/>
        <v>-</v>
      </c>
    </row>
    <row r="31" spans="1:24" ht="17.399999999999999" x14ac:dyDescent="0.35">
      <c r="C31" s="56" t="s">
        <v>89</v>
      </c>
      <c r="D31" s="57">
        <f t="shared" si="29"/>
        <v>0</v>
      </c>
      <c r="E31" s="56">
        <v>7</v>
      </c>
      <c r="F31" s="58">
        <f t="shared" si="22"/>
        <v>6</v>
      </c>
      <c r="G31" s="58">
        <f t="shared" si="23"/>
        <v>3</v>
      </c>
      <c r="H31" s="59" t="str">
        <f t="shared" si="24"/>
        <v>T_02</v>
      </c>
      <c r="I31" s="59" t="str">
        <f t="shared" si="25"/>
        <v>T_05</v>
      </c>
      <c r="J31" s="59">
        <v>1</v>
      </c>
      <c r="K31" s="60">
        <f t="shared" si="30"/>
        <v>43833</v>
      </c>
      <c r="O31" s="122">
        <v>7</v>
      </c>
      <c r="P31" s="122" t="str">
        <f t="shared" ca="1" si="31"/>
        <v>Bogense</v>
      </c>
      <c r="Q31" s="122" t="str">
        <f t="shared" ca="1" si="26"/>
        <v>Ejby</v>
      </c>
      <c r="R31" s="134"/>
      <c r="S31" s="123" t="str">
        <f>IFERROR(S30+mMin,"-")</f>
        <v>-</v>
      </c>
      <c r="T31" s="146"/>
      <c r="U31" s="147"/>
      <c r="V31" s="148"/>
      <c r="W31" s="121" t="str">
        <f t="shared" si="27"/>
        <v>-</v>
      </c>
      <c r="X31" s="121" t="str">
        <f t="shared" si="28"/>
        <v>-</v>
      </c>
    </row>
    <row r="32" spans="1:24" ht="18" thickBot="1" x14ac:dyDescent="0.4">
      <c r="C32" s="56" t="s">
        <v>90</v>
      </c>
      <c r="D32" s="57">
        <f t="shared" si="29"/>
        <v>0</v>
      </c>
      <c r="E32" s="56">
        <v>8</v>
      </c>
      <c r="F32" s="58">
        <f t="shared" si="22"/>
        <v>5</v>
      </c>
      <c r="G32" s="58">
        <f t="shared" si="23"/>
        <v>4</v>
      </c>
      <c r="H32" s="59" t="str">
        <f t="shared" si="24"/>
        <v>T_03</v>
      </c>
      <c r="I32" s="59" t="str">
        <f t="shared" si="25"/>
        <v>T_04</v>
      </c>
      <c r="J32" s="59">
        <v>1</v>
      </c>
      <c r="K32" s="60">
        <f t="shared" si="30"/>
        <v>43833</v>
      </c>
      <c r="O32" s="124">
        <v>8</v>
      </c>
      <c r="P32" s="124" t="str">
        <f t="shared" ca="1" si="31"/>
        <v>Christiansfelt</v>
      </c>
      <c r="Q32" s="124" t="str">
        <f t="shared" ca="1" si="26"/>
        <v>Dragør</v>
      </c>
      <c r="R32" s="135"/>
      <c r="S32" s="125" t="str">
        <f>IFERROR(S31+mMin,"-")</f>
        <v>-</v>
      </c>
      <c r="T32" s="149"/>
      <c r="U32" s="150"/>
      <c r="V32" s="151"/>
      <c r="W32" s="126" t="str">
        <f t="shared" si="27"/>
        <v>-</v>
      </c>
      <c r="X32" s="126" t="str">
        <f t="shared" si="28"/>
        <v>-</v>
      </c>
    </row>
    <row r="33" spans="3:24" ht="17.399999999999999" x14ac:dyDescent="0.35">
      <c r="C33" s="56" t="s">
        <v>96</v>
      </c>
      <c r="D33" s="57">
        <f t="shared" si="29"/>
        <v>0</v>
      </c>
      <c r="E33" s="56">
        <v>9</v>
      </c>
      <c r="F33" s="58">
        <f t="shared" si="22"/>
        <v>7</v>
      </c>
      <c r="G33" s="58">
        <f t="shared" si="23"/>
        <v>2</v>
      </c>
      <c r="H33" s="59" t="str">
        <f t="shared" si="24"/>
        <v>T_01</v>
      </c>
      <c r="I33" s="59" t="str">
        <f t="shared" si="25"/>
        <v>T_06</v>
      </c>
      <c r="J33" s="59">
        <v>2</v>
      </c>
      <c r="K33" s="60">
        <f t="shared" si="30"/>
        <v>43834</v>
      </c>
      <c r="O33" s="122">
        <v>9</v>
      </c>
      <c r="P33" s="122" t="str">
        <f t="shared" ca="1" si="31"/>
        <v>Assens</v>
      </c>
      <c r="Q33" s="122" t="str">
        <f t="shared" ca="1" si="26"/>
        <v>Fjerritslev</v>
      </c>
      <c r="R33" s="134"/>
      <c r="S33" s="123" t="s">
        <v>33</v>
      </c>
      <c r="T33" s="146"/>
      <c r="U33" s="147"/>
      <c r="V33" s="148"/>
      <c r="W33" s="121" t="str">
        <f t="shared" si="27"/>
        <v>-</v>
      </c>
      <c r="X33" s="121" t="str">
        <f t="shared" si="28"/>
        <v>-</v>
      </c>
    </row>
    <row r="34" spans="3:24" ht="17.399999999999999" x14ac:dyDescent="0.35">
      <c r="C34" s="56" t="s">
        <v>97</v>
      </c>
      <c r="D34" s="57">
        <f t="shared" si="29"/>
        <v>0</v>
      </c>
      <c r="E34" s="56">
        <v>10</v>
      </c>
      <c r="F34" s="58">
        <f t="shared" si="22"/>
        <v>6</v>
      </c>
      <c r="G34" s="58">
        <f t="shared" si="23"/>
        <v>8</v>
      </c>
      <c r="H34" s="59" t="str">
        <f t="shared" si="24"/>
        <v>T_07</v>
      </c>
      <c r="I34" s="59" t="str">
        <f t="shared" si="25"/>
        <v>T_05</v>
      </c>
      <c r="J34" s="59">
        <v>2</v>
      </c>
      <c r="K34" s="60">
        <f t="shared" si="30"/>
        <v>43834</v>
      </c>
      <c r="O34" s="122">
        <v>10</v>
      </c>
      <c r="P34" s="122" t="str">
        <f t="shared" ca="1" si="31"/>
        <v>Glamsbjerg</v>
      </c>
      <c r="Q34" s="122" t="str">
        <f t="shared" ca="1" si="26"/>
        <v>Ejby</v>
      </c>
      <c r="R34" s="134"/>
      <c r="S34" s="123" t="str">
        <f>IFERROR(S33+mMin,"-")</f>
        <v>-</v>
      </c>
      <c r="T34" s="146"/>
      <c r="U34" s="147"/>
      <c r="V34" s="148"/>
      <c r="W34" s="121" t="str">
        <f t="shared" si="27"/>
        <v>-</v>
      </c>
      <c r="X34" s="121" t="str">
        <f t="shared" si="28"/>
        <v>-</v>
      </c>
    </row>
    <row r="35" spans="3:24" ht="17.399999999999999" x14ac:dyDescent="0.35">
      <c r="C35" s="56" t="s">
        <v>98</v>
      </c>
      <c r="D35" s="57">
        <f t="shared" si="29"/>
        <v>0</v>
      </c>
      <c r="E35" s="56">
        <v>11</v>
      </c>
      <c r="F35" s="58">
        <f t="shared" si="22"/>
        <v>5</v>
      </c>
      <c r="G35" s="58">
        <f t="shared" si="23"/>
        <v>9</v>
      </c>
      <c r="H35" s="59" t="str">
        <f t="shared" si="24"/>
        <v>T_08</v>
      </c>
      <c r="I35" s="59" t="str">
        <f t="shared" si="25"/>
        <v>T_04</v>
      </c>
      <c r="J35" s="59">
        <v>2</v>
      </c>
      <c r="K35" s="60">
        <f t="shared" si="30"/>
        <v>43834</v>
      </c>
      <c r="O35" s="122">
        <v>11</v>
      </c>
      <c r="P35" s="122" t="str">
        <f t="shared" ca="1" si="31"/>
        <v>Holeby</v>
      </c>
      <c r="Q35" s="122" t="str">
        <f t="shared" ca="1" si="26"/>
        <v>Dragør</v>
      </c>
      <c r="R35" s="134"/>
      <c r="S35" s="123" t="str">
        <f>IFERROR(S34+mMin,"-")</f>
        <v>-</v>
      </c>
      <c r="T35" s="146"/>
      <c r="U35" s="147"/>
      <c r="V35" s="148"/>
      <c r="W35" s="121" t="str">
        <f t="shared" si="27"/>
        <v>-</v>
      </c>
      <c r="X35" s="121" t="str">
        <f t="shared" si="28"/>
        <v>-</v>
      </c>
    </row>
    <row r="36" spans="3:24" ht="18" thickBot="1" x14ac:dyDescent="0.4">
      <c r="C36" s="56" t="s">
        <v>95</v>
      </c>
      <c r="D36" s="57">
        <f t="shared" si="29"/>
        <v>0</v>
      </c>
      <c r="E36" s="56">
        <v>12</v>
      </c>
      <c r="F36" s="58">
        <f t="shared" si="22"/>
        <v>4</v>
      </c>
      <c r="G36" s="58">
        <f t="shared" si="23"/>
        <v>3</v>
      </c>
      <c r="H36" s="59" t="str">
        <f t="shared" si="24"/>
        <v>T_02</v>
      </c>
      <c r="I36" s="59" t="str">
        <f t="shared" si="25"/>
        <v>T_03</v>
      </c>
      <c r="J36" s="59">
        <v>2</v>
      </c>
      <c r="K36" s="60">
        <f t="shared" si="30"/>
        <v>43834</v>
      </c>
      <c r="O36" s="124">
        <v>12</v>
      </c>
      <c r="P36" s="124" t="str">
        <f t="shared" ca="1" si="31"/>
        <v>Bogense</v>
      </c>
      <c r="Q36" s="124" t="str">
        <f t="shared" ca="1" si="26"/>
        <v>Christiansfelt</v>
      </c>
      <c r="R36" s="135"/>
      <c r="S36" s="125" t="str">
        <f>IFERROR(S35+mMin,"-")</f>
        <v>-</v>
      </c>
      <c r="T36" s="149"/>
      <c r="U36" s="150"/>
      <c r="V36" s="151"/>
      <c r="W36" s="126" t="str">
        <f t="shared" si="27"/>
        <v>-</v>
      </c>
      <c r="X36" s="126" t="str">
        <f t="shared" si="28"/>
        <v>-</v>
      </c>
    </row>
    <row r="37" spans="3:24" ht="17.399999999999999" x14ac:dyDescent="0.35">
      <c r="C37" s="56" t="s">
        <v>101</v>
      </c>
      <c r="D37" s="57">
        <f t="shared" si="29"/>
        <v>0</v>
      </c>
      <c r="E37" s="56">
        <v>13</v>
      </c>
      <c r="F37" s="58">
        <f t="shared" si="22"/>
        <v>2</v>
      </c>
      <c r="G37" s="58">
        <f t="shared" si="23"/>
        <v>6</v>
      </c>
      <c r="H37" s="59" t="str">
        <f t="shared" si="24"/>
        <v>T_05</v>
      </c>
      <c r="I37" s="59" t="str">
        <f t="shared" si="25"/>
        <v>T_01</v>
      </c>
      <c r="J37" s="59">
        <v>3</v>
      </c>
      <c r="K37" s="60">
        <f t="shared" si="30"/>
        <v>43835</v>
      </c>
      <c r="O37" s="122">
        <v>13</v>
      </c>
      <c r="P37" s="122" t="str">
        <f t="shared" ca="1" si="31"/>
        <v>Ejby</v>
      </c>
      <c r="Q37" s="122" t="str">
        <f t="shared" ca="1" si="26"/>
        <v>Assens</v>
      </c>
      <c r="R37" s="134"/>
      <c r="S37" s="123" t="s">
        <v>33</v>
      </c>
      <c r="T37" s="146"/>
      <c r="U37" s="147"/>
      <c r="V37" s="148"/>
      <c r="W37" s="121" t="str">
        <f t="shared" si="27"/>
        <v>-</v>
      </c>
      <c r="X37" s="121" t="str">
        <f t="shared" si="28"/>
        <v>-</v>
      </c>
    </row>
    <row r="38" spans="3:24" ht="17.399999999999999" x14ac:dyDescent="0.35">
      <c r="C38" s="56" t="s">
        <v>102</v>
      </c>
      <c r="D38" s="57">
        <f t="shared" si="29"/>
        <v>0</v>
      </c>
      <c r="E38" s="56">
        <v>14</v>
      </c>
      <c r="F38" s="58">
        <f t="shared" si="22"/>
        <v>5</v>
      </c>
      <c r="G38" s="58">
        <f t="shared" si="23"/>
        <v>7</v>
      </c>
      <c r="H38" s="59" t="str">
        <f t="shared" si="24"/>
        <v>T_06</v>
      </c>
      <c r="I38" s="59" t="str">
        <f t="shared" si="25"/>
        <v>T_04</v>
      </c>
      <c r="J38" s="59">
        <v>3</v>
      </c>
      <c r="K38" s="60">
        <f t="shared" si="30"/>
        <v>43835</v>
      </c>
      <c r="O38" s="122">
        <v>14</v>
      </c>
      <c r="P38" s="122" t="str">
        <f t="shared" ca="1" si="31"/>
        <v>Fjerritslev</v>
      </c>
      <c r="Q38" s="122" t="str">
        <f t="shared" ca="1" si="26"/>
        <v>Dragør</v>
      </c>
      <c r="R38" s="134"/>
      <c r="S38" s="123" t="str">
        <f>IFERROR(S37+mMin,"-")</f>
        <v>-</v>
      </c>
      <c r="T38" s="146"/>
      <c r="U38" s="147"/>
      <c r="V38" s="148"/>
      <c r="W38" s="121" t="str">
        <f t="shared" si="27"/>
        <v>-</v>
      </c>
      <c r="X38" s="121" t="str">
        <f t="shared" si="28"/>
        <v>-</v>
      </c>
    </row>
    <row r="39" spans="3:24" ht="17.399999999999999" x14ac:dyDescent="0.35">
      <c r="C39" s="56" t="s">
        <v>103</v>
      </c>
      <c r="D39" s="57">
        <f t="shared" si="29"/>
        <v>0</v>
      </c>
      <c r="E39" s="56">
        <v>15</v>
      </c>
      <c r="F39" s="58">
        <f t="shared" si="22"/>
        <v>4</v>
      </c>
      <c r="G39" s="58">
        <f t="shared" si="23"/>
        <v>8</v>
      </c>
      <c r="H39" s="59" t="str">
        <f t="shared" si="24"/>
        <v>T_07</v>
      </c>
      <c r="I39" s="59" t="str">
        <f t="shared" si="25"/>
        <v>T_03</v>
      </c>
      <c r="J39" s="59">
        <v>3</v>
      </c>
      <c r="K39" s="60">
        <f t="shared" si="30"/>
        <v>43835</v>
      </c>
      <c r="O39" s="122">
        <v>15</v>
      </c>
      <c r="P39" s="122" t="str">
        <f t="shared" ca="1" si="31"/>
        <v>Glamsbjerg</v>
      </c>
      <c r="Q39" s="122" t="str">
        <f t="shared" ca="1" si="26"/>
        <v>Christiansfelt</v>
      </c>
      <c r="R39" s="134"/>
      <c r="S39" s="123" t="str">
        <f>IFERROR(S38+mMin,"-")</f>
        <v>-</v>
      </c>
      <c r="T39" s="146"/>
      <c r="U39" s="147"/>
      <c r="V39" s="148"/>
      <c r="W39" s="121" t="str">
        <f t="shared" si="27"/>
        <v>-</v>
      </c>
      <c r="X39" s="121" t="str">
        <f t="shared" si="28"/>
        <v>-</v>
      </c>
    </row>
    <row r="40" spans="3:24" ht="18" thickBot="1" x14ac:dyDescent="0.4">
      <c r="C40" s="56" t="s">
        <v>104</v>
      </c>
      <c r="D40" s="57">
        <f t="shared" si="29"/>
        <v>0</v>
      </c>
      <c r="E40" s="56">
        <v>16</v>
      </c>
      <c r="F40" s="58">
        <f t="shared" si="22"/>
        <v>3</v>
      </c>
      <c r="G40" s="58">
        <f t="shared" si="23"/>
        <v>9</v>
      </c>
      <c r="H40" s="59" t="str">
        <f t="shared" si="24"/>
        <v>T_08</v>
      </c>
      <c r="I40" s="59" t="str">
        <f t="shared" si="25"/>
        <v>T_02</v>
      </c>
      <c r="J40" s="59">
        <v>3</v>
      </c>
      <c r="K40" s="60">
        <f t="shared" si="30"/>
        <v>43835</v>
      </c>
      <c r="O40" s="124">
        <v>16</v>
      </c>
      <c r="P40" s="124" t="str">
        <f t="shared" ca="1" si="31"/>
        <v>Holeby</v>
      </c>
      <c r="Q40" s="124" t="str">
        <f t="shared" ca="1" si="26"/>
        <v>Bogense</v>
      </c>
      <c r="R40" s="135"/>
      <c r="S40" s="125" t="str">
        <f>IFERROR(S39+mMin,"-")</f>
        <v>-</v>
      </c>
      <c r="T40" s="149"/>
      <c r="U40" s="150"/>
      <c r="V40" s="151"/>
      <c r="W40" s="126" t="str">
        <f t="shared" si="27"/>
        <v>-</v>
      </c>
      <c r="X40" s="126" t="str">
        <f t="shared" si="28"/>
        <v>-</v>
      </c>
    </row>
    <row r="41" spans="3:24" ht="17.399999999999999" x14ac:dyDescent="0.35">
      <c r="C41" s="56" t="s">
        <v>106</v>
      </c>
      <c r="D41" s="57">
        <f t="shared" si="29"/>
        <v>0</v>
      </c>
      <c r="E41" s="56">
        <v>17</v>
      </c>
      <c r="F41" s="58">
        <f t="shared" si="22"/>
        <v>5</v>
      </c>
      <c r="G41" s="58">
        <f t="shared" si="23"/>
        <v>2</v>
      </c>
      <c r="H41" s="59" t="str">
        <f t="shared" si="24"/>
        <v>T_01</v>
      </c>
      <c r="I41" s="59" t="str">
        <f t="shared" si="25"/>
        <v>T_04</v>
      </c>
      <c r="J41" s="59">
        <v>4</v>
      </c>
      <c r="K41" s="60">
        <f t="shared" si="30"/>
        <v>43836</v>
      </c>
      <c r="O41" s="122">
        <v>17</v>
      </c>
      <c r="P41" s="122" t="str">
        <f t="shared" ca="1" si="31"/>
        <v>Assens</v>
      </c>
      <c r="Q41" s="122" t="str">
        <f t="shared" ca="1" si="26"/>
        <v>Dragør</v>
      </c>
      <c r="R41" s="134"/>
      <c r="S41" s="123" t="s">
        <v>33</v>
      </c>
      <c r="T41" s="146"/>
      <c r="U41" s="147"/>
      <c r="V41" s="148"/>
      <c r="W41" s="121" t="str">
        <f t="shared" si="27"/>
        <v>-</v>
      </c>
      <c r="X41" s="121" t="str">
        <f t="shared" si="28"/>
        <v>-</v>
      </c>
    </row>
    <row r="42" spans="3:24" ht="17.399999999999999" x14ac:dyDescent="0.35">
      <c r="C42" s="56" t="s">
        <v>107</v>
      </c>
      <c r="D42" s="57">
        <f t="shared" si="29"/>
        <v>0</v>
      </c>
      <c r="E42" s="56">
        <v>18</v>
      </c>
      <c r="F42" s="58">
        <f t="shared" si="22"/>
        <v>4</v>
      </c>
      <c r="G42" s="58">
        <f t="shared" si="23"/>
        <v>6</v>
      </c>
      <c r="H42" s="59" t="str">
        <f t="shared" si="24"/>
        <v>T_05</v>
      </c>
      <c r="I42" s="59" t="str">
        <f t="shared" si="25"/>
        <v>T_03</v>
      </c>
      <c r="J42" s="59">
        <v>4</v>
      </c>
      <c r="K42" s="60">
        <f t="shared" si="30"/>
        <v>43836</v>
      </c>
      <c r="O42" s="122">
        <v>18</v>
      </c>
      <c r="P42" s="122" t="str">
        <f t="shared" ca="1" si="31"/>
        <v>Ejby</v>
      </c>
      <c r="Q42" s="122" t="str">
        <f t="shared" ca="1" si="26"/>
        <v>Christiansfelt</v>
      </c>
      <c r="R42" s="134"/>
      <c r="S42" s="123" t="str">
        <f>IFERROR(S41+mMin,"-")</f>
        <v>-</v>
      </c>
      <c r="T42" s="146"/>
      <c r="U42" s="147"/>
      <c r="V42" s="148"/>
      <c r="W42" s="121" t="str">
        <f t="shared" si="27"/>
        <v>-</v>
      </c>
      <c r="X42" s="121" t="str">
        <f t="shared" si="28"/>
        <v>-</v>
      </c>
    </row>
    <row r="43" spans="3:24" ht="17.399999999999999" x14ac:dyDescent="0.35">
      <c r="C43" s="56" t="s">
        <v>108</v>
      </c>
      <c r="D43" s="57">
        <f t="shared" si="29"/>
        <v>0</v>
      </c>
      <c r="E43" s="56">
        <v>19</v>
      </c>
      <c r="F43" s="58">
        <f t="shared" si="22"/>
        <v>3</v>
      </c>
      <c r="G43" s="58">
        <f t="shared" si="23"/>
        <v>7</v>
      </c>
      <c r="H43" s="59" t="str">
        <f t="shared" si="24"/>
        <v>T_06</v>
      </c>
      <c r="I43" s="59" t="str">
        <f t="shared" si="25"/>
        <v>T_02</v>
      </c>
      <c r="J43" s="59">
        <v>4</v>
      </c>
      <c r="K43" s="60">
        <f t="shared" si="30"/>
        <v>43836</v>
      </c>
      <c r="O43" s="122">
        <v>19</v>
      </c>
      <c r="P43" s="122" t="str">
        <f t="shared" ca="1" si="31"/>
        <v>Fjerritslev</v>
      </c>
      <c r="Q43" s="122" t="str">
        <f t="shared" ca="1" si="26"/>
        <v>Bogense</v>
      </c>
      <c r="R43" s="134"/>
      <c r="S43" s="123" t="str">
        <f>IFERROR(S42+mMin,"-")</f>
        <v>-</v>
      </c>
      <c r="T43" s="146"/>
      <c r="U43" s="147"/>
      <c r="V43" s="148"/>
      <c r="W43" s="121" t="str">
        <f t="shared" si="27"/>
        <v>-</v>
      </c>
      <c r="X43" s="121" t="str">
        <f t="shared" si="28"/>
        <v>-</v>
      </c>
    </row>
    <row r="44" spans="3:24" ht="18" thickBot="1" x14ac:dyDescent="0.4">
      <c r="C44" s="56" t="s">
        <v>115</v>
      </c>
      <c r="D44" s="57">
        <f t="shared" si="29"/>
        <v>0</v>
      </c>
      <c r="E44" s="56">
        <v>20</v>
      </c>
      <c r="F44" s="58">
        <f t="shared" si="22"/>
        <v>9</v>
      </c>
      <c r="G44" s="58">
        <f t="shared" si="23"/>
        <v>8</v>
      </c>
      <c r="H44" s="59" t="str">
        <f t="shared" si="24"/>
        <v>T_07</v>
      </c>
      <c r="I44" s="59" t="str">
        <f t="shared" si="25"/>
        <v>T_08</v>
      </c>
      <c r="J44" s="59">
        <v>4</v>
      </c>
      <c r="K44" s="60">
        <f t="shared" si="30"/>
        <v>43836</v>
      </c>
      <c r="O44" s="124">
        <v>20</v>
      </c>
      <c r="P44" s="124" t="str">
        <f t="shared" ca="1" si="31"/>
        <v>Glamsbjerg</v>
      </c>
      <c r="Q44" s="124" t="str">
        <f t="shared" ca="1" si="26"/>
        <v>Holeby</v>
      </c>
      <c r="R44" s="135"/>
      <c r="S44" s="125" t="str">
        <f>IFERROR(S43+mMin,"-")</f>
        <v>-</v>
      </c>
      <c r="T44" s="149"/>
      <c r="U44" s="150"/>
      <c r="V44" s="151"/>
      <c r="W44" s="126" t="str">
        <f t="shared" si="27"/>
        <v>-</v>
      </c>
      <c r="X44" s="126" t="str">
        <f t="shared" si="28"/>
        <v>-</v>
      </c>
    </row>
    <row r="45" spans="3:24" ht="17.399999999999999" x14ac:dyDescent="0.35">
      <c r="C45" s="56" t="s">
        <v>111</v>
      </c>
      <c r="D45" s="57">
        <f t="shared" si="29"/>
        <v>0</v>
      </c>
      <c r="E45" s="56">
        <v>21</v>
      </c>
      <c r="F45" s="58">
        <f t="shared" si="22"/>
        <v>2</v>
      </c>
      <c r="G45" s="58">
        <f t="shared" si="23"/>
        <v>4</v>
      </c>
      <c r="H45" s="59" t="str">
        <f t="shared" si="24"/>
        <v>T_03</v>
      </c>
      <c r="I45" s="59" t="str">
        <f t="shared" si="25"/>
        <v>T_01</v>
      </c>
      <c r="J45" s="59">
        <v>5</v>
      </c>
      <c r="K45" s="60">
        <f t="shared" si="30"/>
        <v>43837</v>
      </c>
      <c r="O45" s="122">
        <v>21</v>
      </c>
      <c r="P45" s="122" t="str">
        <f t="shared" ca="1" si="31"/>
        <v>Christiansfelt</v>
      </c>
      <c r="Q45" s="122" t="str">
        <f t="shared" ca="1" si="26"/>
        <v>Assens</v>
      </c>
      <c r="R45" s="134"/>
      <c r="S45" s="123" t="s">
        <v>33</v>
      </c>
      <c r="T45" s="146"/>
      <c r="U45" s="147"/>
      <c r="V45" s="148"/>
      <c r="W45" s="121" t="str">
        <f t="shared" si="27"/>
        <v>-</v>
      </c>
      <c r="X45" s="121" t="str">
        <f t="shared" si="28"/>
        <v>-</v>
      </c>
    </row>
    <row r="46" spans="3:24" ht="17.399999999999999" x14ac:dyDescent="0.35">
      <c r="C46" s="56" t="s">
        <v>112</v>
      </c>
      <c r="D46" s="57">
        <f t="shared" si="29"/>
        <v>0</v>
      </c>
      <c r="E46" s="56">
        <v>22</v>
      </c>
      <c r="F46" s="58">
        <f t="shared" si="22"/>
        <v>3</v>
      </c>
      <c r="G46" s="58">
        <f t="shared" si="23"/>
        <v>5</v>
      </c>
      <c r="H46" s="59" t="str">
        <f t="shared" si="24"/>
        <v>T_04</v>
      </c>
      <c r="I46" s="59" t="str">
        <f t="shared" si="25"/>
        <v>T_02</v>
      </c>
      <c r="J46" s="59">
        <v>5</v>
      </c>
      <c r="K46" s="60">
        <f t="shared" si="30"/>
        <v>43837</v>
      </c>
      <c r="O46" s="122">
        <v>22</v>
      </c>
      <c r="P46" s="122" t="str">
        <f t="shared" ca="1" si="31"/>
        <v>Dragør</v>
      </c>
      <c r="Q46" s="122" t="str">
        <f t="shared" ca="1" si="26"/>
        <v>Bogense</v>
      </c>
      <c r="R46" s="134"/>
      <c r="S46" s="123" t="str">
        <f>IFERROR(S45+mMin,"-")</f>
        <v>-</v>
      </c>
      <c r="T46" s="146"/>
      <c r="U46" s="147"/>
      <c r="V46" s="148"/>
      <c r="W46" s="121" t="str">
        <f t="shared" si="27"/>
        <v>-</v>
      </c>
      <c r="X46" s="121" t="str">
        <f t="shared" si="28"/>
        <v>-</v>
      </c>
    </row>
    <row r="47" spans="3:24" ht="17.399999999999999" x14ac:dyDescent="0.35">
      <c r="C47" s="56" t="s">
        <v>119</v>
      </c>
      <c r="D47" s="57">
        <f t="shared" si="29"/>
        <v>0</v>
      </c>
      <c r="E47" s="56">
        <v>23</v>
      </c>
      <c r="F47" s="58">
        <f t="shared" si="22"/>
        <v>9</v>
      </c>
      <c r="G47" s="58">
        <f t="shared" si="23"/>
        <v>6</v>
      </c>
      <c r="H47" s="59" t="str">
        <f t="shared" si="24"/>
        <v>T_05</v>
      </c>
      <c r="I47" s="59" t="str">
        <f t="shared" si="25"/>
        <v>T_08</v>
      </c>
      <c r="J47" s="59">
        <v>5</v>
      </c>
      <c r="K47" s="60">
        <f t="shared" si="30"/>
        <v>43837</v>
      </c>
      <c r="O47" s="122">
        <v>23</v>
      </c>
      <c r="P47" s="122" t="str">
        <f t="shared" ca="1" si="31"/>
        <v>Ejby</v>
      </c>
      <c r="Q47" s="122" t="str">
        <f t="shared" ca="1" si="26"/>
        <v>Holeby</v>
      </c>
      <c r="R47" s="134"/>
      <c r="S47" s="123" t="str">
        <f>IFERROR(S46+mMin,"-")</f>
        <v>-</v>
      </c>
      <c r="T47" s="146"/>
      <c r="U47" s="147"/>
      <c r="V47" s="148"/>
      <c r="W47" s="121" t="str">
        <f t="shared" si="27"/>
        <v>-</v>
      </c>
      <c r="X47" s="121" t="str">
        <f t="shared" si="28"/>
        <v>-</v>
      </c>
    </row>
    <row r="48" spans="3:24" ht="18" thickBot="1" x14ac:dyDescent="0.4">
      <c r="C48" s="56" t="s">
        <v>120</v>
      </c>
      <c r="D48" s="57">
        <f t="shared" si="29"/>
        <v>0</v>
      </c>
      <c r="E48" s="56">
        <v>24</v>
      </c>
      <c r="F48" s="58">
        <f t="shared" si="22"/>
        <v>8</v>
      </c>
      <c r="G48" s="58">
        <f t="shared" si="23"/>
        <v>7</v>
      </c>
      <c r="H48" s="59" t="str">
        <f t="shared" si="24"/>
        <v>T_06</v>
      </c>
      <c r="I48" s="59" t="str">
        <f t="shared" si="25"/>
        <v>T_07</v>
      </c>
      <c r="J48" s="59">
        <v>5</v>
      </c>
      <c r="K48" s="60">
        <f t="shared" si="30"/>
        <v>43837</v>
      </c>
      <c r="O48" s="124">
        <v>24</v>
      </c>
      <c r="P48" s="124" t="str">
        <f t="shared" ca="1" si="31"/>
        <v>Fjerritslev</v>
      </c>
      <c r="Q48" s="124" t="str">
        <f t="shared" ca="1" si="26"/>
        <v>Glamsbjerg</v>
      </c>
      <c r="R48" s="135"/>
      <c r="S48" s="125" t="str">
        <f>IFERROR(S47+mMin,"-")</f>
        <v>-</v>
      </c>
      <c r="T48" s="149"/>
      <c r="U48" s="150"/>
      <c r="V48" s="151"/>
      <c r="W48" s="126" t="str">
        <f t="shared" si="27"/>
        <v>-</v>
      </c>
      <c r="X48" s="126" t="str">
        <f t="shared" si="28"/>
        <v>-</v>
      </c>
    </row>
    <row r="49" spans="3:24" ht="17.399999999999999" x14ac:dyDescent="0.35">
      <c r="C49" s="56" t="s">
        <v>116</v>
      </c>
      <c r="D49" s="57">
        <f t="shared" si="29"/>
        <v>0</v>
      </c>
      <c r="E49" s="56">
        <v>25</v>
      </c>
      <c r="F49" s="58">
        <f t="shared" si="22"/>
        <v>3</v>
      </c>
      <c r="G49" s="58">
        <f t="shared" si="23"/>
        <v>2</v>
      </c>
      <c r="H49" s="59" t="str">
        <f t="shared" si="24"/>
        <v>T_01</v>
      </c>
      <c r="I49" s="59" t="str">
        <f t="shared" si="25"/>
        <v>T_02</v>
      </c>
      <c r="J49" s="59">
        <v>6</v>
      </c>
      <c r="K49" s="60">
        <f t="shared" si="30"/>
        <v>43838</v>
      </c>
      <c r="O49" s="122">
        <v>25</v>
      </c>
      <c r="P49" s="122" t="str">
        <f t="shared" ca="1" si="31"/>
        <v>Assens</v>
      </c>
      <c r="Q49" s="122" t="str">
        <f t="shared" ca="1" si="26"/>
        <v>Bogense</v>
      </c>
      <c r="R49" s="134"/>
      <c r="S49" s="123" t="s">
        <v>33</v>
      </c>
      <c r="T49" s="146"/>
      <c r="U49" s="147"/>
      <c r="V49" s="148"/>
      <c r="W49" s="121" t="str">
        <f t="shared" si="27"/>
        <v>-</v>
      </c>
      <c r="X49" s="121" t="str">
        <f t="shared" si="28"/>
        <v>-</v>
      </c>
    </row>
    <row r="50" spans="3:24" ht="17.399999999999999" x14ac:dyDescent="0.35">
      <c r="C50" s="56" t="s">
        <v>78</v>
      </c>
      <c r="D50" s="57">
        <f t="shared" si="29"/>
        <v>0</v>
      </c>
      <c r="E50" s="56">
        <v>26</v>
      </c>
      <c r="F50" s="58">
        <f t="shared" si="22"/>
        <v>9</v>
      </c>
      <c r="G50" s="58">
        <f t="shared" si="23"/>
        <v>4</v>
      </c>
      <c r="H50" s="59" t="str">
        <f t="shared" si="24"/>
        <v>T_03</v>
      </c>
      <c r="I50" s="59" t="str">
        <f t="shared" si="25"/>
        <v>T_08</v>
      </c>
      <c r="J50" s="59">
        <v>6</v>
      </c>
      <c r="K50" s="60">
        <f t="shared" si="30"/>
        <v>43838</v>
      </c>
      <c r="O50" s="122">
        <v>26</v>
      </c>
      <c r="P50" s="122" t="str">
        <f t="shared" ca="1" si="31"/>
        <v>Christiansfelt</v>
      </c>
      <c r="Q50" s="122" t="str">
        <f t="shared" ca="1" si="26"/>
        <v>Holeby</v>
      </c>
      <c r="R50" s="134"/>
      <c r="S50" s="123" t="str">
        <f>IFERROR(S49+mMin,"-")</f>
        <v>-</v>
      </c>
      <c r="T50" s="146"/>
      <c r="U50" s="147"/>
      <c r="V50" s="148"/>
      <c r="W50" s="121" t="str">
        <f t="shared" si="27"/>
        <v>-</v>
      </c>
      <c r="X50" s="121" t="str">
        <f t="shared" si="28"/>
        <v>-</v>
      </c>
    </row>
    <row r="51" spans="3:24" ht="17.399999999999999" x14ac:dyDescent="0.35">
      <c r="C51" s="56" t="s">
        <v>79</v>
      </c>
      <c r="D51" s="57">
        <f t="shared" si="29"/>
        <v>0</v>
      </c>
      <c r="E51" s="56">
        <v>27</v>
      </c>
      <c r="F51" s="58">
        <f t="shared" si="22"/>
        <v>8</v>
      </c>
      <c r="G51" s="58">
        <f t="shared" si="23"/>
        <v>5</v>
      </c>
      <c r="H51" s="59" t="str">
        <f t="shared" si="24"/>
        <v>T_04</v>
      </c>
      <c r="I51" s="59" t="str">
        <f t="shared" si="25"/>
        <v>T_07</v>
      </c>
      <c r="J51" s="59">
        <v>6</v>
      </c>
      <c r="K51" s="60">
        <f t="shared" si="30"/>
        <v>43838</v>
      </c>
      <c r="O51" s="122">
        <v>27</v>
      </c>
      <c r="P51" s="122" t="str">
        <f t="shared" ca="1" si="31"/>
        <v>Dragør</v>
      </c>
      <c r="Q51" s="122" t="str">
        <f t="shared" ca="1" si="26"/>
        <v>Glamsbjerg</v>
      </c>
      <c r="R51" s="134"/>
      <c r="S51" s="123" t="str">
        <f>IFERROR(S50+mMin,"-")</f>
        <v>-</v>
      </c>
      <c r="T51" s="146"/>
      <c r="U51" s="147"/>
      <c r="V51" s="148"/>
      <c r="W51" s="121" t="str">
        <f t="shared" si="27"/>
        <v>-</v>
      </c>
      <c r="X51" s="121" t="str">
        <f t="shared" si="28"/>
        <v>-</v>
      </c>
    </row>
    <row r="52" spans="3:24" ht="18" thickBot="1" x14ac:dyDescent="0.4">
      <c r="C52" s="56" t="s">
        <v>80</v>
      </c>
      <c r="D52" s="57">
        <f t="shared" si="29"/>
        <v>0</v>
      </c>
      <c r="E52" s="56">
        <v>28</v>
      </c>
      <c r="F52" s="58">
        <f t="shared" si="22"/>
        <v>7</v>
      </c>
      <c r="G52" s="58">
        <f t="shared" si="23"/>
        <v>6</v>
      </c>
      <c r="H52" s="59" t="str">
        <f t="shared" si="24"/>
        <v>T_05</v>
      </c>
      <c r="I52" s="59" t="str">
        <f t="shared" si="25"/>
        <v>T_06</v>
      </c>
      <c r="J52" s="59">
        <v>6</v>
      </c>
      <c r="K52" s="60">
        <f t="shared" si="30"/>
        <v>43838</v>
      </c>
      <c r="O52" s="124">
        <v>28</v>
      </c>
      <c r="P52" s="124" t="str">
        <f t="shared" ca="1" si="31"/>
        <v>Ejby</v>
      </c>
      <c r="Q52" s="124" t="str">
        <f t="shared" ca="1" si="26"/>
        <v>Fjerritslev</v>
      </c>
      <c r="R52" s="136"/>
      <c r="S52" s="137" t="str">
        <f>IFERROR(S51+mMin,"-")</f>
        <v>-</v>
      </c>
      <c r="T52" s="155"/>
      <c r="U52" s="156"/>
      <c r="V52" s="157"/>
      <c r="W52" s="126" t="str">
        <f t="shared" si="27"/>
        <v>-</v>
      </c>
      <c r="X52" s="126" t="str">
        <f t="shared" si="28"/>
        <v>-</v>
      </c>
    </row>
    <row r="53" spans="3:24" ht="13.2" thickBot="1" x14ac:dyDescent="0.25">
      <c r="H53" s="19" t="s">
        <v>34</v>
      </c>
      <c r="I53" s="19" t="s">
        <v>35</v>
      </c>
      <c r="J53" s="38"/>
      <c r="K53" s="38"/>
      <c r="P53" s="92"/>
      <c r="Q53" s="92"/>
      <c r="R53" s="92"/>
      <c r="S53" s="93"/>
      <c r="T53" s="5"/>
      <c r="U53" s="5"/>
      <c r="V53" s="94"/>
    </row>
    <row r="54" spans="3:24" ht="18" thickBot="1" x14ac:dyDescent="0.4">
      <c r="H54" s="20" t="str">
        <f>IF(ISNUMBER(U54),IF(U54&gt;V54,P54,Q54),"")</f>
        <v/>
      </c>
      <c r="I54" s="20" t="str">
        <f>IF(ISNUMBER(U54),IF(H54=P54,Q54,P54),"")</f>
        <v/>
      </c>
      <c r="J54" s="38">
        <v>14</v>
      </c>
      <c r="K54" s="17">
        <f>$K$25+J54</f>
        <v>43846</v>
      </c>
      <c r="O54" s="89" t="s">
        <v>64</v>
      </c>
      <c r="P54" s="90" t="s">
        <v>13</v>
      </c>
      <c r="Q54" s="90" t="s">
        <v>11</v>
      </c>
      <c r="R54" s="174"/>
      <c r="S54" s="175"/>
      <c r="T54" s="176"/>
      <c r="U54" s="177"/>
      <c r="V54" s="178"/>
      <c r="W54" s="21" t="str">
        <f t="shared" ref="W54" si="32">IF(ISNUMBER(U54)*ISNUMBER(V54),IF(U54&gt;V54,ptv, IF(U54=V54,ptu,ptt)),"-")</f>
        <v>-</v>
      </c>
      <c r="X54" s="21" t="str">
        <f t="shared" ref="X54" si="33">IF(ISNUMBER(U54)*ISNUMBER(V54),IF(W54=ptv,ptt,IF(W54=ptu,ptu,ptv)),"-")</f>
        <v>-</v>
      </c>
    </row>
    <row r="55" spans="3:24" ht="13.2" thickBot="1" x14ac:dyDescent="0.25">
      <c r="H55" s="19" t="s">
        <v>36</v>
      </c>
      <c r="I55" s="19" t="s">
        <v>37</v>
      </c>
      <c r="J55" s="38"/>
      <c r="K55" s="38"/>
      <c r="P55" s="92"/>
      <c r="Q55" s="92"/>
      <c r="R55" s="92"/>
      <c r="S55" s="5"/>
      <c r="T55" s="5"/>
      <c r="U55" s="5"/>
      <c r="V55" s="94"/>
    </row>
    <row r="56" spans="3:24" ht="18" thickBot="1" x14ac:dyDescent="0.4">
      <c r="H56" s="20" t="str">
        <f>IF(ISNUMBER(U56),IF(U56&gt;V56,P56,Q56),"")</f>
        <v/>
      </c>
      <c r="I56" s="20" t="str">
        <f>IF(ISNUMBER(U56),IF(H56=P56,Q56,P56),"")</f>
        <v/>
      </c>
      <c r="J56" s="38">
        <v>15</v>
      </c>
      <c r="K56" s="17">
        <f>$K$25+J56</f>
        <v>43847</v>
      </c>
      <c r="O56" s="88" t="s">
        <v>175</v>
      </c>
      <c r="P56" s="90" t="s">
        <v>16</v>
      </c>
      <c r="Q56" s="90" t="s">
        <v>57</v>
      </c>
      <c r="R56" s="174"/>
      <c r="S56" s="175"/>
      <c r="T56" s="176"/>
      <c r="U56" s="177"/>
      <c r="V56" s="178"/>
      <c r="W56" s="21" t="str">
        <f t="shared" ref="W56" si="34">IF(ISNUMBER(U56)*ISNUMBER(V56),IF(U56&gt;V56,ptv, IF(U56=V56,ptu,ptt)),"-")</f>
        <v>-</v>
      </c>
      <c r="X56" s="21" t="str">
        <f t="shared" ref="X56" si="35">IF(ISNUMBER(U56)*ISNUMBER(V56),IF(W56=ptv,ptt,IF(W56=ptu,ptu,ptv)),"-")</f>
        <v>-</v>
      </c>
    </row>
  </sheetData>
  <sheetProtection sheet="1" objects="1" scenarios="1"/>
  <conditionalFormatting sqref="B15:I22">
    <cfRule type="duplicateValues" dxfId="38" priority="8"/>
    <cfRule type="expression" dxfId="37" priority="9">
      <formula>AND(MOD(B15,2)=0,ISNUMBER(B15))</formula>
    </cfRule>
  </conditionalFormatting>
  <conditionalFormatting sqref="D26:D27">
    <cfRule type="expression" dxfId="36" priority="7">
      <formula>D26=1</formula>
    </cfRule>
  </conditionalFormatting>
  <conditionalFormatting sqref="D28:D52">
    <cfRule type="expression" dxfId="35" priority="6">
      <formula>D28=1</formula>
    </cfRule>
  </conditionalFormatting>
  <conditionalFormatting sqref="M3:M10">
    <cfRule type="duplicateValues" dxfId="34" priority="3"/>
  </conditionalFormatting>
  <conditionalFormatting sqref="L3:L10">
    <cfRule type="duplicateValues" dxfId="33" priority="1"/>
  </conditionalFormatting>
  <dataValidations disablePrompts="1" count="1">
    <dataValidation type="list" allowBlank="1" showInputMessage="1" showErrorMessage="1" sqref="P54:Q54 P56:Q56" xr:uid="{00000000-0002-0000-1400-000000000000}">
      <formula1>teams</formula1>
    </dataValidation>
  </dataValidations>
  <printOptions horizontalCentered="1"/>
  <pageMargins left="0.78740157480314965" right="0.59055118110236227" top="0.39370078740157483" bottom="0.39370078740157483" header="0.19685039370078741" footer="0.19685039370078741"/>
  <pageSetup paperSize="9" scale="71" fitToHeight="2" orientation="portrait" verticalDpi="300" r:id="rId1"/>
  <headerFooter>
    <oddFooter>&amp;L&amp;D&amp;R&amp;P/&amp;N</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grp08x2">
    <tabColor theme="9"/>
    <outlinePr showOutlineSymbols="0"/>
  </sheetPr>
  <dimension ref="A1:X84"/>
  <sheetViews>
    <sheetView showGridLines="0" showRowColHeaders="0" showOutlineSymbols="0" zoomScaleNormal="100" zoomScaleSheetLayoutView="70" workbookViewId="0">
      <pane ySplit="24" topLeftCell="A25" activePane="bottomLeft" state="frozen"/>
      <selection activeCell="L43" sqref="L43"/>
      <selection pane="bottomLeft" activeCell="N25" sqref="N25"/>
    </sheetView>
  </sheetViews>
  <sheetFormatPr defaultColWidth="9" defaultRowHeight="12.6" outlineLevelRow="1" outlineLevelCol="1" x14ac:dyDescent="0.2"/>
  <cols>
    <col min="1" max="1" width="10.08984375" hidden="1" customWidth="1" outlineLevel="1"/>
    <col min="2" max="2" width="9" hidden="1" customWidth="1" outlineLevel="1"/>
    <col min="3" max="3" width="10.26953125" hidden="1" customWidth="1" outlineLevel="1"/>
    <col min="4" max="9" width="9" hidden="1" customWidth="1" outlineLevel="1"/>
    <col min="10" max="10" width="5.6328125" hidden="1" customWidth="1" outlineLevel="1"/>
    <col min="11" max="11" width="9.26953125" hidden="1" customWidth="1" outlineLevel="1"/>
    <col min="12" max="12" width="4.6328125" hidden="1" customWidth="1" outlineLevel="1"/>
    <col min="13" max="13" width="3.453125" hidden="1" customWidth="1" outlineLevel="1"/>
    <col min="14" max="14" width="2.7265625" customWidth="1" collapsed="1"/>
    <col min="15" max="15" width="6" style="13" customWidth="1"/>
    <col min="16" max="17" width="20.453125" style="13" customWidth="1"/>
    <col min="18" max="18" width="9.6328125" style="13" customWidth="1"/>
    <col min="19" max="19" width="8.6328125" customWidth="1"/>
    <col min="20" max="20" width="8.453125" customWidth="1"/>
    <col min="21" max="24" width="6.26953125"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10" si="0">INDEX(xTeams,A3,1)</f>
        <v>Assens</v>
      </c>
      <c r="C3" s="96">
        <f t="shared" ref="C3:C10" ca="1" si="1">SUMIF(team1,teams,goals1)+SUMIF(team2,teams,goals2)</f>
        <v>0</v>
      </c>
      <c r="D3" s="96">
        <f t="shared" ref="D3:D10" ca="1" si="2">SUMIF(team1,teams,goals2)+SUMIF(team2,teams,goals1)</f>
        <v>0</v>
      </c>
      <c r="E3" s="104">
        <f ca="1">SUMIFS(
   points1,team1,teams
) +
  SUMIFS(points2,team2,teams)</f>
        <v>0</v>
      </c>
      <c r="F3" s="96">
        <f t="shared" ref="F3:F10" ca="1" si="3">C3-D3</f>
        <v>0</v>
      </c>
      <c r="G3" s="96">
        <f t="shared" ref="G3:G10" ca="1" si="4">COUNTIFS(team1,$B3,points1,"&gt;=0")+COUNTIFS(team2,$B3,points2,"&gt;=0")</f>
        <v>0</v>
      </c>
      <c r="H3" s="105">
        <f ca="1">IF(G3=0,1,0)</f>
        <v>1</v>
      </c>
      <c r="I3" s="105">
        <f ca="1">RANK($E3,$E$3:$E$10,0)</f>
        <v>1</v>
      </c>
      <c r="J3" s="98">
        <f t="shared" ref="J3:J10" ca="1" si="5">RANK($F3,$F$3:$F$10,0)/10</f>
        <v>0.1</v>
      </c>
      <c r="K3" s="99">
        <f t="shared" ref="K3:K10" ca="1" si="6">RANK($C3,$C$3:$C$10,0)/100</f>
        <v>0.01</v>
      </c>
      <c r="L3" s="99">
        <f ca="1">SUM(H3:K3)</f>
        <v>2.11</v>
      </c>
      <c r="M3" s="96">
        <f ca="1">RANK($L3,$L$3:$L$10,1) + COUNTIF($L$3:$L3,$L3)-1</f>
        <v>1</v>
      </c>
    </row>
    <row r="4" spans="1:24" hidden="1" outlineLevel="1" x14ac:dyDescent="0.2">
      <c r="A4" s="103">
        <v>2</v>
      </c>
      <c r="B4" s="103" t="str">
        <f t="shared" si="0"/>
        <v>Bogense</v>
      </c>
      <c r="C4" s="96">
        <f t="shared" ca="1" si="1"/>
        <v>0</v>
      </c>
      <c r="D4" s="96">
        <f t="shared" ca="1" si="2"/>
        <v>0</v>
      </c>
      <c r="E4" s="104">
        <f t="shared" ref="E4:E10" ca="1" si="7">SUMIFS(points1,team1,teams)+SUMIFS(points2,team2,teams)</f>
        <v>0</v>
      </c>
      <c r="F4" s="96">
        <f t="shared" ca="1" si="3"/>
        <v>0</v>
      </c>
      <c r="G4" s="96">
        <f t="shared" ca="1" si="4"/>
        <v>0</v>
      </c>
      <c r="H4" s="105">
        <f t="shared" ref="H4:H10" ca="1" si="8">IF(G4=0,1,0)</f>
        <v>1</v>
      </c>
      <c r="I4" s="105">
        <f t="shared" ref="I4:I10" ca="1" si="9">RANK($E4,$E$3:$E$10,0)</f>
        <v>1</v>
      </c>
      <c r="J4" s="98">
        <f t="shared" ca="1" si="5"/>
        <v>0.1</v>
      </c>
      <c r="K4" s="99">
        <f t="shared" ca="1" si="6"/>
        <v>0.01</v>
      </c>
      <c r="L4" s="99">
        <f t="shared" ref="L4:L10" ca="1" si="10">SUM(H4:K4)</f>
        <v>2.11</v>
      </c>
      <c r="M4" s="96">
        <f ca="1">RANK($L4,$L$3:$L$10,1) + COUNTIF($L$3:$L4,$L4)-1</f>
        <v>2</v>
      </c>
    </row>
    <row r="5" spans="1:24" hidden="1" outlineLevel="1" x14ac:dyDescent="0.2">
      <c r="A5" s="103">
        <v>3</v>
      </c>
      <c r="B5" s="103" t="str">
        <f t="shared" si="0"/>
        <v>Christiansfelt</v>
      </c>
      <c r="C5" s="96">
        <f t="shared" ca="1" si="1"/>
        <v>0</v>
      </c>
      <c r="D5" s="96">
        <f t="shared" ca="1" si="2"/>
        <v>0</v>
      </c>
      <c r="E5" s="104">
        <f t="shared" ca="1" si="7"/>
        <v>0</v>
      </c>
      <c r="F5" s="96">
        <f t="shared" ca="1" si="3"/>
        <v>0</v>
      </c>
      <c r="G5" s="96">
        <f t="shared" ca="1" si="4"/>
        <v>0</v>
      </c>
      <c r="H5" s="105">
        <f t="shared" ca="1" si="8"/>
        <v>1</v>
      </c>
      <c r="I5" s="105">
        <f t="shared" ca="1" si="9"/>
        <v>1</v>
      </c>
      <c r="J5" s="98">
        <f t="shared" ca="1" si="5"/>
        <v>0.1</v>
      </c>
      <c r="K5" s="99">
        <f t="shared" ca="1" si="6"/>
        <v>0.01</v>
      </c>
      <c r="L5" s="99">
        <f t="shared" ca="1" si="10"/>
        <v>2.11</v>
      </c>
      <c r="M5" s="96">
        <f ca="1">RANK($L5,$L$3:$L$10,1) + COUNTIF($L$3:$L5,$L5)-1</f>
        <v>3</v>
      </c>
    </row>
    <row r="6" spans="1:24" hidden="1" outlineLevel="1" x14ac:dyDescent="0.2">
      <c r="A6" s="103">
        <v>4</v>
      </c>
      <c r="B6" s="103" t="str">
        <f t="shared" si="0"/>
        <v>Dragør</v>
      </c>
      <c r="C6" s="96">
        <f t="shared" ca="1" si="1"/>
        <v>0</v>
      </c>
      <c r="D6" s="96">
        <f t="shared" ca="1" si="2"/>
        <v>0</v>
      </c>
      <c r="E6" s="104">
        <f t="shared" ca="1" si="7"/>
        <v>0</v>
      </c>
      <c r="F6" s="96">
        <f t="shared" ca="1" si="3"/>
        <v>0</v>
      </c>
      <c r="G6" s="96">
        <f t="shared" ca="1" si="4"/>
        <v>0</v>
      </c>
      <c r="H6" s="105">
        <f t="shared" ca="1" si="8"/>
        <v>1</v>
      </c>
      <c r="I6" s="105">
        <f t="shared" ca="1" si="9"/>
        <v>1</v>
      </c>
      <c r="J6" s="98">
        <f t="shared" ca="1" si="5"/>
        <v>0.1</v>
      </c>
      <c r="K6" s="99">
        <f t="shared" ca="1" si="6"/>
        <v>0.01</v>
      </c>
      <c r="L6" s="99">
        <f t="shared" ca="1" si="10"/>
        <v>2.11</v>
      </c>
      <c r="M6" s="96">
        <f ca="1">RANK($L6,$L$3:$L$10,1) + COUNTIF($L$3:$L6,$L6)-1</f>
        <v>4</v>
      </c>
    </row>
    <row r="7" spans="1:24" hidden="1" outlineLevel="1" x14ac:dyDescent="0.2">
      <c r="A7" s="103">
        <v>5</v>
      </c>
      <c r="B7" s="103" t="str">
        <f t="shared" si="0"/>
        <v>Ejby</v>
      </c>
      <c r="C7" s="96">
        <f t="shared" ca="1" si="1"/>
        <v>0</v>
      </c>
      <c r="D7" s="96">
        <f t="shared" ca="1" si="2"/>
        <v>0</v>
      </c>
      <c r="E7" s="104">
        <f t="shared" ca="1" si="7"/>
        <v>0</v>
      </c>
      <c r="F7" s="96">
        <f t="shared" ca="1" si="3"/>
        <v>0</v>
      </c>
      <c r="G7" s="96">
        <f t="shared" ca="1" si="4"/>
        <v>0</v>
      </c>
      <c r="H7" s="105">
        <f t="shared" ca="1" si="8"/>
        <v>1</v>
      </c>
      <c r="I7" s="105">
        <f t="shared" ca="1" si="9"/>
        <v>1</v>
      </c>
      <c r="J7" s="98">
        <f t="shared" ca="1" si="5"/>
        <v>0.1</v>
      </c>
      <c r="K7" s="99">
        <f t="shared" ca="1" si="6"/>
        <v>0.01</v>
      </c>
      <c r="L7" s="99">
        <f t="shared" ca="1" si="10"/>
        <v>2.11</v>
      </c>
      <c r="M7" s="96">
        <f ca="1">RANK($L7,$L$3:$L$10,1) + COUNTIF($L$3:$L7,$L7)-1</f>
        <v>5</v>
      </c>
    </row>
    <row r="8" spans="1:24" hidden="1" outlineLevel="1" x14ac:dyDescent="0.2">
      <c r="A8" s="103">
        <v>6</v>
      </c>
      <c r="B8" s="103" t="str">
        <f t="shared" si="0"/>
        <v>Fjerritslev</v>
      </c>
      <c r="C8" s="96">
        <f t="shared" ca="1" si="1"/>
        <v>0</v>
      </c>
      <c r="D8" s="96">
        <f t="shared" ca="1" si="2"/>
        <v>0</v>
      </c>
      <c r="E8" s="104">
        <f t="shared" ca="1" si="7"/>
        <v>0</v>
      </c>
      <c r="F8" s="96">
        <f t="shared" ca="1" si="3"/>
        <v>0</v>
      </c>
      <c r="G8" s="96">
        <f t="shared" ca="1" si="4"/>
        <v>0</v>
      </c>
      <c r="H8" s="105">
        <f t="shared" ca="1" si="8"/>
        <v>1</v>
      </c>
      <c r="I8" s="105">
        <f t="shared" ca="1" si="9"/>
        <v>1</v>
      </c>
      <c r="J8" s="98">
        <f t="shared" ca="1" si="5"/>
        <v>0.1</v>
      </c>
      <c r="K8" s="99">
        <f t="shared" ca="1" si="6"/>
        <v>0.01</v>
      </c>
      <c r="L8" s="99">
        <f t="shared" ca="1" si="10"/>
        <v>2.11</v>
      </c>
      <c r="M8" s="96">
        <f ca="1">RANK($L8,$L$3:$L$10,1) + COUNTIF($L$3:$L8,$L8)-1</f>
        <v>6</v>
      </c>
    </row>
    <row r="9" spans="1:24" hidden="1" outlineLevel="1" x14ac:dyDescent="0.2">
      <c r="A9" s="103">
        <v>7</v>
      </c>
      <c r="B9" s="103" t="str">
        <f t="shared" si="0"/>
        <v>Glamsbjerg</v>
      </c>
      <c r="C9" s="96">
        <f t="shared" ca="1" si="1"/>
        <v>0</v>
      </c>
      <c r="D9" s="96">
        <f t="shared" ca="1" si="2"/>
        <v>0</v>
      </c>
      <c r="E9" s="104">
        <f t="shared" ca="1" si="7"/>
        <v>0</v>
      </c>
      <c r="F9" s="96">
        <f t="shared" ca="1" si="3"/>
        <v>0</v>
      </c>
      <c r="G9" s="96">
        <f t="shared" ca="1" si="4"/>
        <v>0</v>
      </c>
      <c r="H9" s="105">
        <f t="shared" ca="1" si="8"/>
        <v>1</v>
      </c>
      <c r="I9" s="105">
        <f t="shared" ca="1" si="9"/>
        <v>1</v>
      </c>
      <c r="J9" s="98">
        <f t="shared" ca="1" si="5"/>
        <v>0.1</v>
      </c>
      <c r="K9" s="99">
        <f t="shared" ca="1" si="6"/>
        <v>0.01</v>
      </c>
      <c r="L9" s="99">
        <f t="shared" ca="1" si="10"/>
        <v>2.11</v>
      </c>
      <c r="M9" s="96">
        <f ca="1">RANK($L9,$L$3:$L$10,1) + COUNTIF($L$3:$L9,$L9)-1</f>
        <v>7</v>
      </c>
    </row>
    <row r="10" spans="1:24" hidden="1" outlineLevel="1" x14ac:dyDescent="0.2">
      <c r="A10" s="103">
        <v>8</v>
      </c>
      <c r="B10" s="103" t="str">
        <f t="shared" si="0"/>
        <v>Holeby</v>
      </c>
      <c r="C10" s="96">
        <f t="shared" ca="1" si="1"/>
        <v>0</v>
      </c>
      <c r="D10" s="96">
        <f t="shared" ca="1" si="2"/>
        <v>0</v>
      </c>
      <c r="E10" s="104">
        <f t="shared" ca="1" si="7"/>
        <v>0</v>
      </c>
      <c r="F10" s="96">
        <f t="shared" ca="1" si="3"/>
        <v>0</v>
      </c>
      <c r="G10" s="96">
        <f t="shared" ca="1" si="4"/>
        <v>0</v>
      </c>
      <c r="H10" s="105">
        <f t="shared" ca="1" si="8"/>
        <v>1</v>
      </c>
      <c r="I10" s="105">
        <f t="shared" ca="1" si="9"/>
        <v>1</v>
      </c>
      <c r="J10" s="98">
        <f t="shared" ca="1" si="5"/>
        <v>0.1</v>
      </c>
      <c r="K10" s="99">
        <f t="shared" ca="1" si="6"/>
        <v>0.01</v>
      </c>
      <c r="L10" s="99">
        <f t="shared" ca="1" si="10"/>
        <v>2.11</v>
      </c>
      <c r="M10" s="96">
        <f ca="1">RANK($L10,$L$3:$L$10,1) + COUNTIF($L$3:$L10,$L10)-1</f>
        <v>8</v>
      </c>
    </row>
    <row r="11" spans="1:24" ht="13.2" collapsed="1" thickBot="1" x14ac:dyDescent="0.25">
      <c r="O11"/>
      <c r="P11"/>
      <c r="Q11"/>
      <c r="R11"/>
    </row>
    <row r="12" spans="1:24" s="4" customFormat="1" ht="24" thickBot="1" x14ac:dyDescent="0.5">
      <c r="A12" s="42" t="s">
        <v>168</v>
      </c>
      <c r="B12" s="74">
        <v>8</v>
      </c>
      <c r="C12" s="72"/>
      <c r="D12" s="73" t="s">
        <v>65</v>
      </c>
      <c r="E12" s="74">
        <f>(B12/2)*(B12-1)</f>
        <v>28</v>
      </c>
      <c r="F12"/>
      <c r="G12"/>
      <c r="H12"/>
      <c r="I12"/>
      <c r="O12" s="75" t="str">
        <f>TurneringsNavn</f>
        <v>Forårsstævne</v>
      </c>
      <c r="P12" s="5"/>
      <c r="Q12" s="5"/>
      <c r="R12" s="5"/>
      <c r="S12" s="5"/>
      <c r="T12" s="5"/>
      <c r="U12" s="5"/>
      <c r="V12" s="5"/>
      <c r="W12" s="5"/>
      <c r="X12" s="5"/>
    </row>
    <row r="13" spans="1:24" ht="6.75" customHeight="1" x14ac:dyDescent="0.2">
      <c r="M13" s="4"/>
      <c r="N13" s="4"/>
      <c r="O13"/>
      <c r="P13"/>
      <c r="Q13"/>
      <c r="R13"/>
    </row>
    <row r="14" spans="1:24" ht="13.8" x14ac:dyDescent="0.25">
      <c r="A14" s="35" t="s">
        <v>200</v>
      </c>
      <c r="B14" s="35" t="s">
        <v>66</v>
      </c>
      <c r="C14" s="35" t="s">
        <v>67</v>
      </c>
      <c r="D14" s="35" t="s">
        <v>68</v>
      </c>
      <c r="E14" s="35" t="s">
        <v>69</v>
      </c>
      <c r="F14" s="35" t="s">
        <v>70</v>
      </c>
      <c r="G14" s="35" t="s">
        <v>71</v>
      </c>
      <c r="H14" s="35" t="s">
        <v>72</v>
      </c>
      <c r="I14" s="35" t="s">
        <v>73</v>
      </c>
      <c r="J14" s="7" t="s">
        <v>2</v>
      </c>
      <c r="K14" s="6" t="s">
        <v>3</v>
      </c>
      <c r="L14" s="6" t="s">
        <v>4</v>
      </c>
      <c r="M14" s="6" t="s">
        <v>167</v>
      </c>
      <c r="N14" s="4"/>
      <c r="O14" s="128" t="s">
        <v>198</v>
      </c>
      <c r="P14" s="129" t="s">
        <v>176</v>
      </c>
      <c r="Q14" s="129"/>
      <c r="R14" s="130" t="s">
        <v>5</v>
      </c>
      <c r="S14" s="128" t="s">
        <v>6</v>
      </c>
      <c r="T14" s="128" t="s">
        <v>7</v>
      </c>
      <c r="U14" s="128" t="s">
        <v>8</v>
      </c>
      <c r="V14" s="128" t="s">
        <v>9</v>
      </c>
      <c r="W14" s="128" t="s">
        <v>10</v>
      </c>
      <c r="X14" s="131" t="s">
        <v>177</v>
      </c>
    </row>
    <row r="15" spans="1:24" ht="17.399999999999999" x14ac:dyDescent="0.35">
      <c r="A15" s="35" t="s">
        <v>66</v>
      </c>
      <c r="B15" s="36"/>
      <c r="C15" s="9">
        <v>25</v>
      </c>
      <c r="D15" s="9">
        <v>49</v>
      </c>
      <c r="E15" s="9">
        <v>17</v>
      </c>
      <c r="F15" s="9">
        <v>41</v>
      </c>
      <c r="G15" s="9">
        <v>9</v>
      </c>
      <c r="H15" s="9">
        <v>33</v>
      </c>
      <c r="I15" s="9">
        <v>1</v>
      </c>
      <c r="J15" s="10" t="str">
        <f ca="1">IFERROR(CHOOSE((P15=H$84)*1+(P15=I$84)*2+(P15=H$82)*3,"Guld","Sølv","Bronze"),"")</f>
        <v/>
      </c>
      <c r="K15" s="11">
        <f t="shared" ref="K15:K22" ca="1" si="11">COUNTIF(team1,$B3)</f>
        <v>7</v>
      </c>
      <c r="L15" s="11">
        <f t="shared" ref="L15:L22" ca="1" si="12">COUNTIF(team2,$B3)</f>
        <v>7</v>
      </c>
      <c r="M15" s="11">
        <f ca="1">SUM(K15:L15)</f>
        <v>14</v>
      </c>
      <c r="N15" s="4"/>
      <c r="O15" s="119">
        <v>1</v>
      </c>
      <c r="P15" s="120" t="str">
        <f ca="1" xml:space="preserve">  INDEX(teams,MATCH(teamNum,actRank,0))</f>
        <v>Assens</v>
      </c>
      <c r="Q15" s="120"/>
      <c r="R15" s="127">
        <f t="shared" ref="R15:R22" ca="1" si="13">COUNTIFS(team1,teamName,points1,"&gt;=0")+COUNTIFS(team2,teamName,points2,"&gt;=0")</f>
        <v>0</v>
      </c>
      <c r="S15" s="143">
        <f t="shared" ref="S15:S22" ca="1" si="14">COUNTIFS(team1,teamName,points1,ptv)+COUNTIFS(team2,teamName,points2,ptv)</f>
        <v>0</v>
      </c>
      <c r="T15" s="121">
        <f t="shared" ref="T15:T22" ca="1" si="15">COUNTIFS(team1,teamName,points1,ptu)+COUNTIFS(team2,teamName,points2,ptu)</f>
        <v>0</v>
      </c>
      <c r="U15" s="121">
        <f t="shared" ref="U15:U22" ca="1" si="16">COUNTIFS(team1,teamName,points1,ptt)+COUNTIFS(team2,teamName,points2,ptt)</f>
        <v>0</v>
      </c>
      <c r="V15" s="143">
        <f t="shared" ref="V15:V22" ca="1" si="17">SUMIF(team1,teamName,goals1)+SUMIF(team2,teamName,goals2)</f>
        <v>0</v>
      </c>
      <c r="W15" s="121">
        <f t="shared" ref="W15:W22" ca="1" si="18">SUMIF(team1,teamName,goals2)+SUMIF(team2,teamName,goals1)</f>
        <v>0</v>
      </c>
      <c r="X15" s="144">
        <f t="shared" ref="X15:X22" ca="1" si="19">SUMIFS(points1,team1,teamName)+SUMIFS(points2,team2,teamName)</f>
        <v>0</v>
      </c>
    </row>
    <row r="16" spans="1:24" ht="17.399999999999999" x14ac:dyDescent="0.35">
      <c r="A16" s="35" t="s">
        <v>67</v>
      </c>
      <c r="B16" s="9">
        <v>53</v>
      </c>
      <c r="C16" s="36"/>
      <c r="D16" s="9">
        <v>12</v>
      </c>
      <c r="E16" s="9">
        <v>50</v>
      </c>
      <c r="F16" s="9">
        <v>7</v>
      </c>
      <c r="G16" s="9">
        <v>47</v>
      </c>
      <c r="H16" s="9">
        <v>2</v>
      </c>
      <c r="I16" s="9">
        <v>44</v>
      </c>
      <c r="J16" s="10" t="str">
        <f ca="1">IFERROR(CHOOSE((P16=H$84)*1+(P16=I$84)*2+(P16=H$82)*3,"Guld","Sølv","Bronze"),"")</f>
        <v/>
      </c>
      <c r="K16" s="11">
        <f t="shared" ca="1" si="11"/>
        <v>7</v>
      </c>
      <c r="L16" s="11">
        <f t="shared" ca="1" si="12"/>
        <v>7</v>
      </c>
      <c r="M16" s="11">
        <f t="shared" ref="M16:M22" ca="1" si="20">SUM(K16:L16)</f>
        <v>14</v>
      </c>
      <c r="N16" s="4"/>
      <c r="O16" s="119">
        <v>2</v>
      </c>
      <c r="P16" s="120" t="str">
        <f t="shared" ref="P16:P22" ca="1" si="21" xml:space="preserve">  INDEX(teams,MATCH(teamNum,actRank,0))</f>
        <v>Bogense</v>
      </c>
      <c r="Q16" s="120"/>
      <c r="R16" s="127">
        <f t="shared" ca="1" si="13"/>
        <v>0</v>
      </c>
      <c r="S16" s="143">
        <f t="shared" ca="1" si="14"/>
        <v>0</v>
      </c>
      <c r="T16" s="121">
        <f t="shared" ca="1" si="15"/>
        <v>0</v>
      </c>
      <c r="U16" s="121">
        <f t="shared" ca="1" si="16"/>
        <v>0</v>
      </c>
      <c r="V16" s="143">
        <f t="shared" ca="1" si="17"/>
        <v>0</v>
      </c>
      <c r="W16" s="121">
        <f t="shared" ca="1" si="18"/>
        <v>0</v>
      </c>
      <c r="X16" s="144">
        <f t="shared" ca="1" si="19"/>
        <v>0</v>
      </c>
    </row>
    <row r="17" spans="1:24" ht="17.399999999999999" x14ac:dyDescent="0.35">
      <c r="A17" s="35" t="s">
        <v>68</v>
      </c>
      <c r="B17" s="9">
        <v>21</v>
      </c>
      <c r="C17" s="9">
        <v>40</v>
      </c>
      <c r="D17" s="36"/>
      <c r="E17" s="9">
        <v>8</v>
      </c>
      <c r="F17" s="9">
        <v>46</v>
      </c>
      <c r="G17" s="9">
        <v>3</v>
      </c>
      <c r="H17" s="9">
        <v>43</v>
      </c>
      <c r="I17" s="9">
        <v>26</v>
      </c>
      <c r="J17" s="10" t="str">
        <f ca="1">IFERROR(CHOOSE((P17=H$84)*1+(P17=I$84)*2+(P17=H$82)*3,"Guld","Sølv","Bronze"),"")</f>
        <v/>
      </c>
      <c r="K17" s="11">
        <f t="shared" ca="1" si="11"/>
        <v>7</v>
      </c>
      <c r="L17" s="11">
        <f t="shared" ca="1" si="12"/>
        <v>7</v>
      </c>
      <c r="M17" s="11">
        <f t="shared" ca="1" si="20"/>
        <v>14</v>
      </c>
      <c r="N17" s="4"/>
      <c r="O17" s="119">
        <v>3</v>
      </c>
      <c r="P17" s="120" t="str">
        <f t="shared" ca="1" si="21"/>
        <v>Christiansfelt</v>
      </c>
      <c r="Q17" s="120"/>
      <c r="R17" s="127">
        <f t="shared" ca="1" si="13"/>
        <v>0</v>
      </c>
      <c r="S17" s="143">
        <f t="shared" ca="1" si="14"/>
        <v>0</v>
      </c>
      <c r="T17" s="121">
        <f t="shared" ca="1" si="15"/>
        <v>0</v>
      </c>
      <c r="U17" s="121">
        <f t="shared" ca="1" si="16"/>
        <v>0</v>
      </c>
      <c r="V17" s="143">
        <f t="shared" ca="1" si="17"/>
        <v>0</v>
      </c>
      <c r="W17" s="121">
        <f t="shared" ca="1" si="18"/>
        <v>0</v>
      </c>
      <c r="X17" s="144">
        <f t="shared" ca="1" si="19"/>
        <v>0</v>
      </c>
    </row>
    <row r="18" spans="1:24" ht="17.399999999999999" x14ac:dyDescent="0.35">
      <c r="A18" s="35" t="s">
        <v>69</v>
      </c>
      <c r="B18" s="9">
        <v>45</v>
      </c>
      <c r="C18" s="9">
        <v>22</v>
      </c>
      <c r="D18" s="9">
        <v>36</v>
      </c>
      <c r="E18" s="36"/>
      <c r="F18" s="9">
        <v>4</v>
      </c>
      <c r="G18" s="9">
        <v>42</v>
      </c>
      <c r="H18" s="9">
        <v>27</v>
      </c>
      <c r="I18" s="9">
        <v>39</v>
      </c>
      <c r="J18" s="10" t="str">
        <f ca="1">IFERROR(CHOOSE((P18=H$84)*1+(P18=I$84)*2+(P18=H$82)*3,"Guld","Sølv","Bronze"),"")</f>
        <v/>
      </c>
      <c r="K18" s="11">
        <f t="shared" ca="1" si="11"/>
        <v>7</v>
      </c>
      <c r="L18" s="11">
        <f t="shared" ca="1" si="12"/>
        <v>7</v>
      </c>
      <c r="M18" s="11">
        <f t="shared" ca="1" si="20"/>
        <v>14</v>
      </c>
      <c r="N18" s="4"/>
      <c r="O18" s="119">
        <v>4</v>
      </c>
      <c r="P18" s="120" t="str">
        <f t="shared" ca="1" si="21"/>
        <v>Dragør</v>
      </c>
      <c r="Q18" s="120"/>
      <c r="R18" s="127">
        <f t="shared" ca="1" si="13"/>
        <v>0</v>
      </c>
      <c r="S18" s="143">
        <f t="shared" ca="1" si="14"/>
        <v>0</v>
      </c>
      <c r="T18" s="121">
        <f t="shared" ca="1" si="15"/>
        <v>0</v>
      </c>
      <c r="U18" s="121">
        <f t="shared" ca="1" si="16"/>
        <v>0</v>
      </c>
      <c r="V18" s="143">
        <f t="shared" ca="1" si="17"/>
        <v>0</v>
      </c>
      <c r="W18" s="121">
        <f t="shared" ca="1" si="18"/>
        <v>0</v>
      </c>
      <c r="X18" s="144">
        <f t="shared" ca="1" si="19"/>
        <v>0</v>
      </c>
    </row>
    <row r="19" spans="1:24" ht="17.399999999999999" x14ac:dyDescent="0.35">
      <c r="A19" s="35" t="s">
        <v>70</v>
      </c>
      <c r="B19" s="9">
        <v>13</v>
      </c>
      <c r="C19" s="9">
        <v>35</v>
      </c>
      <c r="D19" s="9">
        <v>18</v>
      </c>
      <c r="E19" s="9">
        <v>32</v>
      </c>
      <c r="F19" s="36"/>
      <c r="G19" s="9">
        <v>28</v>
      </c>
      <c r="H19" s="9">
        <v>38</v>
      </c>
      <c r="I19" s="9">
        <v>23</v>
      </c>
      <c r="J19" s="10" t="str">
        <f ca="1">IFERROR(CHOOSE((P19=H$84)*1+(P19=I$84)*2+(P19=H$82)*3,"Guld","Sølv","Bronze"),"")</f>
        <v/>
      </c>
      <c r="K19" s="11">
        <f t="shared" ca="1" si="11"/>
        <v>7</v>
      </c>
      <c r="L19" s="11">
        <f t="shared" ca="1" si="12"/>
        <v>7</v>
      </c>
      <c r="M19" s="11">
        <f t="shared" ca="1" si="20"/>
        <v>14</v>
      </c>
      <c r="N19" s="4"/>
      <c r="O19" s="119">
        <v>5</v>
      </c>
      <c r="P19" s="120" t="str">
        <f t="shared" ca="1" si="21"/>
        <v>Ejby</v>
      </c>
      <c r="Q19" s="120"/>
      <c r="R19" s="127">
        <f t="shared" ca="1" si="13"/>
        <v>0</v>
      </c>
      <c r="S19" s="143">
        <f t="shared" ca="1" si="14"/>
        <v>0</v>
      </c>
      <c r="T19" s="121">
        <f t="shared" ca="1" si="15"/>
        <v>0</v>
      </c>
      <c r="U19" s="121">
        <f t="shared" ca="1" si="16"/>
        <v>0</v>
      </c>
      <c r="V19" s="143">
        <f t="shared" ca="1" si="17"/>
        <v>0</v>
      </c>
      <c r="W19" s="121">
        <f t="shared" ca="1" si="18"/>
        <v>0</v>
      </c>
      <c r="X19" s="144">
        <f t="shared" ca="1" si="19"/>
        <v>0</v>
      </c>
    </row>
    <row r="20" spans="1:24" ht="17.399999999999999" x14ac:dyDescent="0.35">
      <c r="A20" s="35" t="s">
        <v>71</v>
      </c>
      <c r="B20" s="9">
        <v>37</v>
      </c>
      <c r="C20" s="9">
        <v>19</v>
      </c>
      <c r="D20" s="9">
        <v>31</v>
      </c>
      <c r="E20" s="9">
        <v>14</v>
      </c>
      <c r="F20" s="9">
        <v>56</v>
      </c>
      <c r="G20" s="36"/>
      <c r="H20" s="9">
        <v>24</v>
      </c>
      <c r="I20" s="9">
        <v>34</v>
      </c>
      <c r="J20" s="10"/>
      <c r="K20" s="11">
        <f t="shared" ca="1" si="11"/>
        <v>7</v>
      </c>
      <c r="L20" s="11">
        <f t="shared" ca="1" si="12"/>
        <v>7</v>
      </c>
      <c r="M20" s="11">
        <f t="shared" ca="1" si="20"/>
        <v>14</v>
      </c>
      <c r="N20" s="4"/>
      <c r="O20" s="119">
        <v>6</v>
      </c>
      <c r="P20" s="120" t="str">
        <f t="shared" ca="1" si="21"/>
        <v>Fjerritslev</v>
      </c>
      <c r="Q20" s="120"/>
      <c r="R20" s="127">
        <f t="shared" ca="1" si="13"/>
        <v>0</v>
      </c>
      <c r="S20" s="143">
        <f t="shared" ca="1" si="14"/>
        <v>0</v>
      </c>
      <c r="T20" s="121">
        <f t="shared" ca="1" si="15"/>
        <v>0</v>
      </c>
      <c r="U20" s="121">
        <f t="shared" ca="1" si="16"/>
        <v>0</v>
      </c>
      <c r="V20" s="143">
        <f t="shared" ca="1" si="17"/>
        <v>0</v>
      </c>
      <c r="W20" s="121">
        <f t="shared" ca="1" si="18"/>
        <v>0</v>
      </c>
      <c r="X20" s="144">
        <f t="shared" ca="1" si="19"/>
        <v>0</v>
      </c>
    </row>
    <row r="21" spans="1:24" ht="17.399999999999999" x14ac:dyDescent="0.35">
      <c r="A21" s="35" t="s">
        <v>72</v>
      </c>
      <c r="B21" s="9">
        <v>5</v>
      </c>
      <c r="C21" s="9">
        <v>30</v>
      </c>
      <c r="D21" s="9">
        <v>15</v>
      </c>
      <c r="E21" s="9">
        <v>55</v>
      </c>
      <c r="F21" s="9">
        <v>10</v>
      </c>
      <c r="G21" s="9">
        <v>52</v>
      </c>
      <c r="H21" s="36"/>
      <c r="I21" s="9">
        <v>20</v>
      </c>
      <c r="J21" s="10"/>
      <c r="K21" s="11">
        <f t="shared" ca="1" si="11"/>
        <v>7</v>
      </c>
      <c r="L21" s="11">
        <f t="shared" ca="1" si="12"/>
        <v>7</v>
      </c>
      <c r="M21" s="11">
        <f t="shared" ca="1" si="20"/>
        <v>14</v>
      </c>
      <c r="N21" s="4"/>
      <c r="O21" s="119">
        <v>7</v>
      </c>
      <c r="P21" s="120" t="str">
        <f t="shared" ca="1" si="21"/>
        <v>Glamsbjerg</v>
      </c>
      <c r="Q21" s="120"/>
      <c r="R21" s="127">
        <f t="shared" ca="1" si="13"/>
        <v>0</v>
      </c>
      <c r="S21" s="143">
        <f t="shared" ca="1" si="14"/>
        <v>0</v>
      </c>
      <c r="T21" s="121">
        <f t="shared" ca="1" si="15"/>
        <v>0</v>
      </c>
      <c r="U21" s="121">
        <f t="shared" ca="1" si="16"/>
        <v>0</v>
      </c>
      <c r="V21" s="143">
        <f t="shared" ca="1" si="17"/>
        <v>0</v>
      </c>
      <c r="W21" s="121">
        <f t="shared" ca="1" si="18"/>
        <v>0</v>
      </c>
      <c r="X21" s="144">
        <f t="shared" ca="1" si="19"/>
        <v>0</v>
      </c>
    </row>
    <row r="22" spans="1:24" ht="17.399999999999999" x14ac:dyDescent="0.35">
      <c r="A22" s="35" t="s">
        <v>73</v>
      </c>
      <c r="B22" s="9">
        <v>29</v>
      </c>
      <c r="C22" s="9">
        <v>16</v>
      </c>
      <c r="D22" s="9">
        <v>54</v>
      </c>
      <c r="E22" s="9">
        <v>11</v>
      </c>
      <c r="F22" s="9">
        <v>51</v>
      </c>
      <c r="G22" s="9">
        <v>6</v>
      </c>
      <c r="H22" s="9">
        <v>48</v>
      </c>
      <c r="I22" s="36"/>
      <c r="J22" s="10" t="str">
        <f ca="1">IFERROR(CHOOSE((P20=H$84)*1+(P20=I$84)*2+(P20=H$82)*3,"Guld","Sølv","Bronze"),"")</f>
        <v/>
      </c>
      <c r="K22" s="11">
        <f t="shared" ca="1" si="11"/>
        <v>7</v>
      </c>
      <c r="L22" s="11">
        <f t="shared" ca="1" si="12"/>
        <v>7</v>
      </c>
      <c r="M22" s="11">
        <f t="shared" ca="1" si="20"/>
        <v>14</v>
      </c>
      <c r="N22" s="4"/>
      <c r="O22" s="119">
        <v>8</v>
      </c>
      <c r="P22" s="120" t="str">
        <f t="shared" ca="1" si="21"/>
        <v>Holeby</v>
      </c>
      <c r="Q22" s="120"/>
      <c r="R22" s="127">
        <f t="shared" ca="1" si="13"/>
        <v>0</v>
      </c>
      <c r="S22" s="143">
        <f t="shared" ca="1" si="14"/>
        <v>0</v>
      </c>
      <c r="T22" s="121">
        <f t="shared" ca="1" si="15"/>
        <v>0</v>
      </c>
      <c r="U22" s="121">
        <f t="shared" ca="1" si="16"/>
        <v>0</v>
      </c>
      <c r="V22" s="143">
        <f t="shared" ca="1" si="17"/>
        <v>0</v>
      </c>
      <c r="W22" s="121">
        <f t="shared" ca="1" si="18"/>
        <v>0</v>
      </c>
      <c r="X22" s="144">
        <f t="shared" ca="1" si="19"/>
        <v>0</v>
      </c>
    </row>
    <row r="23" spans="1:24" ht="12" customHeight="1" x14ac:dyDescent="0.2">
      <c r="A23" s="6"/>
      <c r="B23" s="37"/>
      <c r="C23" s="37"/>
      <c r="D23" s="37"/>
      <c r="E23" s="37"/>
      <c r="F23" s="37"/>
      <c r="G23" s="37"/>
      <c r="H23" s="37"/>
      <c r="I23" s="37"/>
      <c r="J23" s="37"/>
      <c r="K23" s="11"/>
      <c r="L23" s="11"/>
      <c r="M23" s="4"/>
      <c r="N23" s="4"/>
      <c r="O23"/>
      <c r="P23"/>
      <c r="Q23"/>
      <c r="R23"/>
    </row>
    <row r="24" spans="1:24" s="12" customFormat="1" ht="15" thickBot="1" x14ac:dyDescent="0.35">
      <c r="B24"/>
      <c r="C24" s="44" t="s">
        <v>17</v>
      </c>
      <c r="D24" s="45" t="s">
        <v>18</v>
      </c>
      <c r="E24" s="46" t="s">
        <v>19</v>
      </c>
      <c r="F24" s="47" t="s">
        <v>20</v>
      </c>
      <c r="G24" s="47" t="s">
        <v>21</v>
      </c>
      <c r="H24" s="47" t="s">
        <v>22</v>
      </c>
      <c r="I24" s="47" t="s">
        <v>23</v>
      </c>
      <c r="J24" s="48" t="s">
        <v>24</v>
      </c>
      <c r="K24" s="49" t="s">
        <v>25</v>
      </c>
      <c r="M24"/>
      <c r="N24"/>
      <c r="O24" s="140" t="s">
        <v>5</v>
      </c>
      <c r="P24" s="139" t="s">
        <v>26</v>
      </c>
      <c r="Q24" s="139" t="s">
        <v>27</v>
      </c>
      <c r="R24" s="158" t="s">
        <v>25</v>
      </c>
      <c r="S24" s="158" t="s">
        <v>196</v>
      </c>
      <c r="T24" s="158" t="s">
        <v>195</v>
      </c>
      <c r="U24" s="159" t="s">
        <v>193</v>
      </c>
      <c r="V24" s="159" t="s">
        <v>194</v>
      </c>
      <c r="W24" s="138" t="s">
        <v>32</v>
      </c>
      <c r="X24" s="138" t="s">
        <v>32</v>
      </c>
    </row>
    <row r="25" spans="1:24" ht="17.399999999999999" x14ac:dyDescent="0.35">
      <c r="C25" s="50" t="s">
        <v>86</v>
      </c>
      <c r="D25" s="51"/>
      <c r="E25" s="50">
        <v>1</v>
      </c>
      <c r="F25" s="52">
        <f t="shared" ref="F25:F80" si="22">SUMPRODUCT((HxA=$E25)*(COLUMN(HxA)))-COLUMN(HxA)+1</f>
        <v>9</v>
      </c>
      <c r="G25" s="52">
        <f t="shared" ref="G25:G80" si="23">SUMPRODUCT((HxA=$E25)*(ROW(HxA)))-ROW(HxA)+1</f>
        <v>2</v>
      </c>
      <c r="H25" s="53" t="str">
        <f>INDEX(HxA,G25,1)</f>
        <v>T_01</v>
      </c>
      <c r="I25" s="53" t="str">
        <f t="shared" ref="I25:I56" si="24">INDEX(HxA,1,F25)</f>
        <v>T_08</v>
      </c>
      <c r="J25" s="54"/>
      <c r="K25" s="55">
        <v>43832</v>
      </c>
      <c r="M25" s="12"/>
      <c r="N25" s="12"/>
      <c r="O25" s="122">
        <v>1</v>
      </c>
      <c r="P25" s="122" t="str">
        <f t="shared" ref="P25:P56" ca="1" si="25">INDIRECT(H25)</f>
        <v>Assens</v>
      </c>
      <c r="Q25" s="122" t="str">
        <f t="shared" ref="Q25:Q56" ca="1" si="26">INDIRECT(I25)</f>
        <v>Holeby</v>
      </c>
      <c r="R25" s="141"/>
      <c r="S25" s="142" t="s">
        <v>33</v>
      </c>
      <c r="T25" s="152"/>
      <c r="U25" s="153"/>
      <c r="V25" s="154"/>
      <c r="W25" s="121" t="str">
        <f t="shared" ref="W25:W65" si="27">IF(ISNUMBER(U25)*ISNUMBER(V25),IF(U25&gt;V25,ptv, IF(U25=V25,ptu,ptt)),"-")</f>
        <v>-</v>
      </c>
      <c r="X25" s="121" t="str">
        <f t="shared" ref="X25:X65" si="28">IF(ISNUMBER(U25)*ISNUMBER(V25),IF(W25=ptv,ptt,IF(W25=ptu,ptu,ptv)),"-")</f>
        <v>-</v>
      </c>
    </row>
    <row r="26" spans="1:24" ht="17.399999999999999" x14ac:dyDescent="0.35">
      <c r="C26" s="56" t="s">
        <v>83</v>
      </c>
      <c r="D26" s="57">
        <f t="shared" ref="D26:D57" si="29">OR(H26=H25,H26=I25,I26=H25,I26=I25)*1</f>
        <v>0</v>
      </c>
      <c r="E26" s="56">
        <v>2</v>
      </c>
      <c r="F26" s="58">
        <f t="shared" si="22"/>
        <v>8</v>
      </c>
      <c r="G26" s="58">
        <f t="shared" si="23"/>
        <v>3</v>
      </c>
      <c r="H26" s="59" t="str">
        <f t="shared" ref="H26:H56" si="30">INDEX(HxA,G26,1)</f>
        <v>T_02</v>
      </c>
      <c r="I26" s="59" t="str">
        <f t="shared" si="24"/>
        <v>T_07</v>
      </c>
      <c r="J26" s="59">
        <v>0</v>
      </c>
      <c r="K26" s="60">
        <f t="shared" ref="K26:K57" si="31">$K$25+J26</f>
        <v>43832</v>
      </c>
      <c r="O26" s="122">
        <v>2</v>
      </c>
      <c r="P26" s="122" t="str">
        <f t="shared" ca="1" si="25"/>
        <v>Bogense</v>
      </c>
      <c r="Q26" s="122" t="str">
        <f t="shared" ca="1" si="26"/>
        <v>Glamsbjerg</v>
      </c>
      <c r="R26" s="134"/>
      <c r="S26" s="123" t="str">
        <f>IFERROR(S25+mMin,"-")</f>
        <v>-</v>
      </c>
      <c r="T26" s="146"/>
      <c r="U26" s="147"/>
      <c r="V26" s="148"/>
      <c r="W26" s="121" t="str">
        <f t="shared" si="27"/>
        <v>-</v>
      </c>
      <c r="X26" s="121" t="str">
        <f t="shared" si="28"/>
        <v>-</v>
      </c>
    </row>
    <row r="27" spans="1:24" ht="17.399999999999999" x14ac:dyDescent="0.35">
      <c r="C27" s="56" t="s">
        <v>84</v>
      </c>
      <c r="D27" s="57">
        <f t="shared" si="29"/>
        <v>0</v>
      </c>
      <c r="E27" s="56">
        <v>3</v>
      </c>
      <c r="F27" s="58">
        <f t="shared" si="22"/>
        <v>7</v>
      </c>
      <c r="G27" s="58">
        <f t="shared" si="23"/>
        <v>4</v>
      </c>
      <c r="H27" s="59" t="str">
        <f t="shared" si="30"/>
        <v>T_03</v>
      </c>
      <c r="I27" s="59" t="str">
        <f t="shared" si="24"/>
        <v>T_06</v>
      </c>
      <c r="J27" s="59">
        <v>0</v>
      </c>
      <c r="K27" s="60">
        <f t="shared" si="31"/>
        <v>43832</v>
      </c>
      <c r="O27" s="122">
        <v>3</v>
      </c>
      <c r="P27" s="122" t="str">
        <f t="shared" ca="1" si="25"/>
        <v>Christiansfelt</v>
      </c>
      <c r="Q27" s="122" t="str">
        <f t="shared" ca="1" si="26"/>
        <v>Fjerritslev</v>
      </c>
      <c r="R27" s="134"/>
      <c r="S27" s="123" t="str">
        <f>IFERROR(S26+mMin,"-")</f>
        <v>-</v>
      </c>
      <c r="T27" s="146"/>
      <c r="U27" s="147"/>
      <c r="V27" s="148"/>
      <c r="W27" s="121" t="str">
        <f t="shared" si="27"/>
        <v>-</v>
      </c>
      <c r="X27" s="121" t="str">
        <f t="shared" si="28"/>
        <v>-</v>
      </c>
    </row>
    <row r="28" spans="1:24" ht="18" thickBot="1" x14ac:dyDescent="0.4">
      <c r="C28" s="56" t="s">
        <v>85</v>
      </c>
      <c r="D28" s="57">
        <f t="shared" si="29"/>
        <v>0</v>
      </c>
      <c r="E28" s="56">
        <v>4</v>
      </c>
      <c r="F28" s="58">
        <f t="shared" si="22"/>
        <v>6</v>
      </c>
      <c r="G28" s="58">
        <f t="shared" si="23"/>
        <v>5</v>
      </c>
      <c r="H28" s="59" t="str">
        <f t="shared" si="30"/>
        <v>T_04</v>
      </c>
      <c r="I28" s="59" t="str">
        <f t="shared" si="24"/>
        <v>T_05</v>
      </c>
      <c r="J28" s="59">
        <v>0</v>
      </c>
      <c r="K28" s="60">
        <f t="shared" si="31"/>
        <v>43832</v>
      </c>
      <c r="O28" s="124">
        <v>4</v>
      </c>
      <c r="P28" s="124" t="str">
        <f t="shared" ca="1" si="25"/>
        <v>Dragør</v>
      </c>
      <c r="Q28" s="124" t="str">
        <f t="shared" ca="1" si="26"/>
        <v>Ejby</v>
      </c>
      <c r="R28" s="135"/>
      <c r="S28" s="125" t="str">
        <f>IFERROR(S27+mMin,"-")</f>
        <v>-</v>
      </c>
      <c r="T28" s="149"/>
      <c r="U28" s="150"/>
      <c r="V28" s="151"/>
      <c r="W28" s="126" t="str">
        <f t="shared" si="27"/>
        <v>-</v>
      </c>
      <c r="X28" s="126" t="str">
        <f t="shared" si="28"/>
        <v>-</v>
      </c>
    </row>
    <row r="29" spans="1:24" ht="17.399999999999999" x14ac:dyDescent="0.35">
      <c r="C29" s="56" t="s">
        <v>91</v>
      </c>
      <c r="D29" s="57">
        <f t="shared" si="29"/>
        <v>0</v>
      </c>
      <c r="E29" s="56">
        <v>5</v>
      </c>
      <c r="F29" s="58">
        <f t="shared" si="22"/>
        <v>2</v>
      </c>
      <c r="G29" s="58">
        <f t="shared" si="23"/>
        <v>8</v>
      </c>
      <c r="H29" s="59" t="str">
        <f t="shared" si="30"/>
        <v>T_07</v>
      </c>
      <c r="I29" s="59" t="str">
        <f t="shared" si="24"/>
        <v>T_01</v>
      </c>
      <c r="J29" s="59">
        <v>1</v>
      </c>
      <c r="K29" s="60">
        <f t="shared" si="31"/>
        <v>43833</v>
      </c>
      <c r="O29" s="122">
        <v>5</v>
      </c>
      <c r="P29" s="122" t="str">
        <f t="shared" ca="1" si="25"/>
        <v>Glamsbjerg</v>
      </c>
      <c r="Q29" s="122" t="str">
        <f t="shared" ca="1" si="26"/>
        <v>Assens</v>
      </c>
      <c r="R29" s="134"/>
      <c r="S29" s="123" t="s">
        <v>33</v>
      </c>
      <c r="T29" s="146"/>
      <c r="U29" s="147"/>
      <c r="V29" s="148"/>
      <c r="W29" s="121" t="str">
        <f t="shared" si="27"/>
        <v>-</v>
      </c>
      <c r="X29" s="121" t="str">
        <f t="shared" si="28"/>
        <v>-</v>
      </c>
    </row>
    <row r="30" spans="1:24" ht="17.399999999999999" x14ac:dyDescent="0.35">
      <c r="C30" s="56" t="s">
        <v>92</v>
      </c>
      <c r="D30" s="57">
        <f t="shared" si="29"/>
        <v>0</v>
      </c>
      <c r="E30" s="56">
        <v>6</v>
      </c>
      <c r="F30" s="58">
        <f t="shared" si="22"/>
        <v>7</v>
      </c>
      <c r="G30" s="58">
        <f t="shared" si="23"/>
        <v>9</v>
      </c>
      <c r="H30" s="59" t="str">
        <f t="shared" si="30"/>
        <v>T_08</v>
      </c>
      <c r="I30" s="59" t="str">
        <f t="shared" si="24"/>
        <v>T_06</v>
      </c>
      <c r="J30" s="59">
        <v>1</v>
      </c>
      <c r="K30" s="60">
        <f t="shared" si="31"/>
        <v>43833</v>
      </c>
      <c r="O30" s="122">
        <v>6</v>
      </c>
      <c r="P30" s="122" t="str">
        <f t="shared" ca="1" si="25"/>
        <v>Holeby</v>
      </c>
      <c r="Q30" s="122" t="str">
        <f t="shared" ca="1" si="26"/>
        <v>Fjerritslev</v>
      </c>
      <c r="R30" s="134"/>
      <c r="S30" s="123" t="str">
        <f>IFERROR(S29+mMin,"-")</f>
        <v>-</v>
      </c>
      <c r="T30" s="146"/>
      <c r="U30" s="147"/>
      <c r="V30" s="148"/>
      <c r="W30" s="121" t="str">
        <f t="shared" si="27"/>
        <v>-</v>
      </c>
      <c r="X30" s="121" t="str">
        <f t="shared" si="28"/>
        <v>-</v>
      </c>
    </row>
    <row r="31" spans="1:24" ht="17.399999999999999" x14ac:dyDescent="0.35">
      <c r="C31" s="56" t="s">
        <v>89</v>
      </c>
      <c r="D31" s="57">
        <f t="shared" si="29"/>
        <v>0</v>
      </c>
      <c r="E31" s="56">
        <v>7</v>
      </c>
      <c r="F31" s="58">
        <f t="shared" si="22"/>
        <v>6</v>
      </c>
      <c r="G31" s="58">
        <f t="shared" si="23"/>
        <v>3</v>
      </c>
      <c r="H31" s="59" t="str">
        <f t="shared" si="30"/>
        <v>T_02</v>
      </c>
      <c r="I31" s="59" t="str">
        <f t="shared" si="24"/>
        <v>T_05</v>
      </c>
      <c r="J31" s="59">
        <v>1</v>
      </c>
      <c r="K31" s="60">
        <f t="shared" si="31"/>
        <v>43833</v>
      </c>
      <c r="O31" s="122">
        <v>7</v>
      </c>
      <c r="P31" s="122" t="str">
        <f t="shared" ca="1" si="25"/>
        <v>Bogense</v>
      </c>
      <c r="Q31" s="122" t="str">
        <f t="shared" ca="1" si="26"/>
        <v>Ejby</v>
      </c>
      <c r="R31" s="134"/>
      <c r="S31" s="123" t="str">
        <f>IFERROR(S30+mMin,"-")</f>
        <v>-</v>
      </c>
      <c r="T31" s="146"/>
      <c r="U31" s="147"/>
      <c r="V31" s="148"/>
      <c r="W31" s="121" t="str">
        <f t="shared" si="27"/>
        <v>-</v>
      </c>
      <c r="X31" s="121" t="str">
        <f t="shared" si="28"/>
        <v>-</v>
      </c>
    </row>
    <row r="32" spans="1:24" ht="18" thickBot="1" x14ac:dyDescent="0.4">
      <c r="C32" s="56" t="s">
        <v>90</v>
      </c>
      <c r="D32" s="57">
        <f t="shared" si="29"/>
        <v>0</v>
      </c>
      <c r="E32" s="56">
        <v>8</v>
      </c>
      <c r="F32" s="58">
        <f t="shared" si="22"/>
        <v>5</v>
      </c>
      <c r="G32" s="58">
        <f t="shared" si="23"/>
        <v>4</v>
      </c>
      <c r="H32" s="59" t="str">
        <f t="shared" si="30"/>
        <v>T_03</v>
      </c>
      <c r="I32" s="59" t="str">
        <f t="shared" si="24"/>
        <v>T_04</v>
      </c>
      <c r="J32" s="59">
        <v>1</v>
      </c>
      <c r="K32" s="60">
        <f t="shared" si="31"/>
        <v>43833</v>
      </c>
      <c r="O32" s="124">
        <v>8</v>
      </c>
      <c r="P32" s="124" t="str">
        <f t="shared" ca="1" si="25"/>
        <v>Christiansfelt</v>
      </c>
      <c r="Q32" s="124" t="str">
        <f t="shared" ca="1" si="26"/>
        <v>Dragør</v>
      </c>
      <c r="R32" s="135"/>
      <c r="S32" s="125" t="str">
        <f>IFERROR(S31+mMin,"-")</f>
        <v>-</v>
      </c>
      <c r="T32" s="149"/>
      <c r="U32" s="150"/>
      <c r="V32" s="151"/>
      <c r="W32" s="126" t="str">
        <f t="shared" si="27"/>
        <v>-</v>
      </c>
      <c r="X32" s="126" t="str">
        <f t="shared" si="28"/>
        <v>-</v>
      </c>
    </row>
    <row r="33" spans="3:24" ht="17.399999999999999" x14ac:dyDescent="0.35">
      <c r="C33" s="56" t="s">
        <v>96</v>
      </c>
      <c r="D33" s="57">
        <f t="shared" si="29"/>
        <v>0</v>
      </c>
      <c r="E33" s="56">
        <v>9</v>
      </c>
      <c r="F33" s="58">
        <f t="shared" si="22"/>
        <v>7</v>
      </c>
      <c r="G33" s="58">
        <f t="shared" si="23"/>
        <v>2</v>
      </c>
      <c r="H33" s="59" t="str">
        <f t="shared" si="30"/>
        <v>T_01</v>
      </c>
      <c r="I33" s="59" t="str">
        <f t="shared" si="24"/>
        <v>T_06</v>
      </c>
      <c r="J33" s="59">
        <v>2</v>
      </c>
      <c r="K33" s="60">
        <f t="shared" si="31"/>
        <v>43834</v>
      </c>
      <c r="O33" s="122">
        <v>9</v>
      </c>
      <c r="P33" s="122" t="str">
        <f t="shared" ca="1" si="25"/>
        <v>Assens</v>
      </c>
      <c r="Q33" s="122" t="str">
        <f t="shared" ca="1" si="26"/>
        <v>Fjerritslev</v>
      </c>
      <c r="R33" s="134"/>
      <c r="S33" s="123" t="s">
        <v>33</v>
      </c>
      <c r="T33" s="146"/>
      <c r="U33" s="147"/>
      <c r="V33" s="148"/>
      <c r="W33" s="121" t="str">
        <f t="shared" si="27"/>
        <v>-</v>
      </c>
      <c r="X33" s="121" t="str">
        <f t="shared" si="28"/>
        <v>-</v>
      </c>
    </row>
    <row r="34" spans="3:24" ht="17.399999999999999" x14ac:dyDescent="0.35">
      <c r="C34" s="56" t="s">
        <v>97</v>
      </c>
      <c r="D34" s="57">
        <f t="shared" si="29"/>
        <v>0</v>
      </c>
      <c r="E34" s="56">
        <v>10</v>
      </c>
      <c r="F34" s="58">
        <f t="shared" si="22"/>
        <v>6</v>
      </c>
      <c r="G34" s="58">
        <f t="shared" si="23"/>
        <v>8</v>
      </c>
      <c r="H34" s="59" t="str">
        <f t="shared" si="30"/>
        <v>T_07</v>
      </c>
      <c r="I34" s="59" t="str">
        <f t="shared" si="24"/>
        <v>T_05</v>
      </c>
      <c r="J34" s="59">
        <v>2</v>
      </c>
      <c r="K34" s="60">
        <f t="shared" si="31"/>
        <v>43834</v>
      </c>
      <c r="O34" s="122">
        <v>10</v>
      </c>
      <c r="P34" s="122" t="str">
        <f t="shared" ca="1" si="25"/>
        <v>Glamsbjerg</v>
      </c>
      <c r="Q34" s="122" t="str">
        <f t="shared" ca="1" si="26"/>
        <v>Ejby</v>
      </c>
      <c r="R34" s="134"/>
      <c r="S34" s="123" t="str">
        <f>IFERROR(S33+mMin,"-")</f>
        <v>-</v>
      </c>
      <c r="T34" s="146"/>
      <c r="U34" s="147"/>
      <c r="V34" s="148"/>
      <c r="W34" s="121" t="str">
        <f t="shared" si="27"/>
        <v>-</v>
      </c>
      <c r="X34" s="121" t="str">
        <f t="shared" si="28"/>
        <v>-</v>
      </c>
    </row>
    <row r="35" spans="3:24" ht="17.399999999999999" x14ac:dyDescent="0.35">
      <c r="C35" s="56" t="s">
        <v>98</v>
      </c>
      <c r="D35" s="57">
        <f t="shared" si="29"/>
        <v>0</v>
      </c>
      <c r="E35" s="56">
        <v>11</v>
      </c>
      <c r="F35" s="58">
        <f t="shared" si="22"/>
        <v>5</v>
      </c>
      <c r="G35" s="58">
        <f t="shared" si="23"/>
        <v>9</v>
      </c>
      <c r="H35" s="59" t="str">
        <f t="shared" si="30"/>
        <v>T_08</v>
      </c>
      <c r="I35" s="59" t="str">
        <f t="shared" si="24"/>
        <v>T_04</v>
      </c>
      <c r="J35" s="59">
        <v>2</v>
      </c>
      <c r="K35" s="60">
        <f t="shared" si="31"/>
        <v>43834</v>
      </c>
      <c r="O35" s="122">
        <v>11</v>
      </c>
      <c r="P35" s="122" t="str">
        <f t="shared" ca="1" si="25"/>
        <v>Holeby</v>
      </c>
      <c r="Q35" s="122" t="str">
        <f t="shared" ca="1" si="26"/>
        <v>Dragør</v>
      </c>
      <c r="R35" s="134"/>
      <c r="S35" s="123" t="str">
        <f>IFERROR(S34+mMin,"-")</f>
        <v>-</v>
      </c>
      <c r="T35" s="146"/>
      <c r="U35" s="147"/>
      <c r="V35" s="148"/>
      <c r="W35" s="121" t="str">
        <f t="shared" si="27"/>
        <v>-</v>
      </c>
      <c r="X35" s="121" t="str">
        <f t="shared" si="28"/>
        <v>-</v>
      </c>
    </row>
    <row r="36" spans="3:24" ht="18" thickBot="1" x14ac:dyDescent="0.4">
      <c r="C36" s="56" t="s">
        <v>95</v>
      </c>
      <c r="D36" s="57">
        <f t="shared" si="29"/>
        <v>0</v>
      </c>
      <c r="E36" s="56">
        <v>12</v>
      </c>
      <c r="F36" s="58">
        <f t="shared" si="22"/>
        <v>4</v>
      </c>
      <c r="G36" s="58">
        <f t="shared" si="23"/>
        <v>3</v>
      </c>
      <c r="H36" s="59" t="str">
        <f t="shared" si="30"/>
        <v>T_02</v>
      </c>
      <c r="I36" s="59" t="str">
        <f t="shared" si="24"/>
        <v>T_03</v>
      </c>
      <c r="J36" s="59">
        <v>2</v>
      </c>
      <c r="K36" s="60">
        <f t="shared" si="31"/>
        <v>43834</v>
      </c>
      <c r="O36" s="124">
        <v>12</v>
      </c>
      <c r="P36" s="124" t="str">
        <f t="shared" ca="1" si="25"/>
        <v>Bogense</v>
      </c>
      <c r="Q36" s="124" t="str">
        <f t="shared" ca="1" si="26"/>
        <v>Christiansfelt</v>
      </c>
      <c r="R36" s="135"/>
      <c r="S36" s="125" t="str">
        <f>IFERROR(S35+mMin,"-")</f>
        <v>-</v>
      </c>
      <c r="T36" s="149"/>
      <c r="U36" s="150"/>
      <c r="V36" s="151"/>
      <c r="W36" s="126" t="str">
        <f t="shared" si="27"/>
        <v>-</v>
      </c>
      <c r="X36" s="126" t="str">
        <f t="shared" si="28"/>
        <v>-</v>
      </c>
    </row>
    <row r="37" spans="3:24" ht="17.399999999999999" x14ac:dyDescent="0.35">
      <c r="C37" s="56" t="s">
        <v>101</v>
      </c>
      <c r="D37" s="57">
        <f t="shared" si="29"/>
        <v>0</v>
      </c>
      <c r="E37" s="56">
        <v>13</v>
      </c>
      <c r="F37" s="58">
        <f t="shared" si="22"/>
        <v>2</v>
      </c>
      <c r="G37" s="58">
        <f t="shared" si="23"/>
        <v>6</v>
      </c>
      <c r="H37" s="59" t="str">
        <f t="shared" si="30"/>
        <v>T_05</v>
      </c>
      <c r="I37" s="59" t="str">
        <f t="shared" si="24"/>
        <v>T_01</v>
      </c>
      <c r="J37" s="59">
        <v>3</v>
      </c>
      <c r="K37" s="60">
        <f t="shared" si="31"/>
        <v>43835</v>
      </c>
      <c r="O37" s="122">
        <v>13</v>
      </c>
      <c r="P37" s="122" t="str">
        <f t="shared" ca="1" si="25"/>
        <v>Ejby</v>
      </c>
      <c r="Q37" s="122" t="str">
        <f t="shared" ca="1" si="26"/>
        <v>Assens</v>
      </c>
      <c r="R37" s="134"/>
      <c r="S37" s="123" t="s">
        <v>33</v>
      </c>
      <c r="T37" s="146"/>
      <c r="U37" s="147"/>
      <c r="V37" s="148"/>
      <c r="W37" s="121" t="str">
        <f t="shared" si="27"/>
        <v>-</v>
      </c>
      <c r="X37" s="121" t="str">
        <f t="shared" si="28"/>
        <v>-</v>
      </c>
    </row>
    <row r="38" spans="3:24" ht="17.399999999999999" x14ac:dyDescent="0.35">
      <c r="C38" s="56" t="s">
        <v>102</v>
      </c>
      <c r="D38" s="57">
        <f t="shared" si="29"/>
        <v>0</v>
      </c>
      <c r="E38" s="56">
        <v>14</v>
      </c>
      <c r="F38" s="58">
        <f t="shared" si="22"/>
        <v>5</v>
      </c>
      <c r="G38" s="58">
        <f t="shared" si="23"/>
        <v>7</v>
      </c>
      <c r="H38" s="59" t="str">
        <f t="shared" si="30"/>
        <v>T_06</v>
      </c>
      <c r="I38" s="59" t="str">
        <f t="shared" si="24"/>
        <v>T_04</v>
      </c>
      <c r="J38" s="59">
        <v>3</v>
      </c>
      <c r="K38" s="60">
        <f t="shared" si="31"/>
        <v>43835</v>
      </c>
      <c r="O38" s="122">
        <v>14</v>
      </c>
      <c r="P38" s="122" t="str">
        <f t="shared" ca="1" si="25"/>
        <v>Fjerritslev</v>
      </c>
      <c r="Q38" s="122" t="str">
        <f t="shared" ca="1" si="26"/>
        <v>Dragør</v>
      </c>
      <c r="R38" s="134"/>
      <c r="S38" s="123" t="str">
        <f>IFERROR(S37+mMin,"-")</f>
        <v>-</v>
      </c>
      <c r="T38" s="146"/>
      <c r="U38" s="147"/>
      <c r="V38" s="148"/>
      <c r="W38" s="121" t="str">
        <f t="shared" si="27"/>
        <v>-</v>
      </c>
      <c r="X38" s="121" t="str">
        <f t="shared" si="28"/>
        <v>-</v>
      </c>
    </row>
    <row r="39" spans="3:24" ht="17.399999999999999" x14ac:dyDescent="0.35">
      <c r="C39" s="56" t="s">
        <v>103</v>
      </c>
      <c r="D39" s="57">
        <f t="shared" si="29"/>
        <v>0</v>
      </c>
      <c r="E39" s="56">
        <v>15</v>
      </c>
      <c r="F39" s="58">
        <f t="shared" si="22"/>
        <v>4</v>
      </c>
      <c r="G39" s="58">
        <f t="shared" si="23"/>
        <v>8</v>
      </c>
      <c r="H39" s="59" t="str">
        <f t="shared" si="30"/>
        <v>T_07</v>
      </c>
      <c r="I39" s="59" t="str">
        <f t="shared" si="24"/>
        <v>T_03</v>
      </c>
      <c r="J39" s="59">
        <v>3</v>
      </c>
      <c r="K39" s="60">
        <f t="shared" si="31"/>
        <v>43835</v>
      </c>
      <c r="O39" s="122">
        <v>15</v>
      </c>
      <c r="P39" s="122" t="str">
        <f t="shared" ca="1" si="25"/>
        <v>Glamsbjerg</v>
      </c>
      <c r="Q39" s="122" t="str">
        <f t="shared" ca="1" si="26"/>
        <v>Christiansfelt</v>
      </c>
      <c r="R39" s="134"/>
      <c r="S39" s="123" t="str">
        <f>IFERROR(S38+mMin,"-")</f>
        <v>-</v>
      </c>
      <c r="T39" s="146"/>
      <c r="U39" s="147"/>
      <c r="V39" s="148"/>
      <c r="W39" s="121" t="str">
        <f t="shared" si="27"/>
        <v>-</v>
      </c>
      <c r="X39" s="121" t="str">
        <f t="shared" si="28"/>
        <v>-</v>
      </c>
    </row>
    <row r="40" spans="3:24" ht="18" thickBot="1" x14ac:dyDescent="0.4">
      <c r="C40" s="56" t="s">
        <v>104</v>
      </c>
      <c r="D40" s="57">
        <f t="shared" si="29"/>
        <v>0</v>
      </c>
      <c r="E40" s="56">
        <v>16</v>
      </c>
      <c r="F40" s="58">
        <f t="shared" si="22"/>
        <v>3</v>
      </c>
      <c r="G40" s="58">
        <f t="shared" si="23"/>
        <v>9</v>
      </c>
      <c r="H40" s="59" t="str">
        <f t="shared" si="30"/>
        <v>T_08</v>
      </c>
      <c r="I40" s="59" t="str">
        <f t="shared" si="24"/>
        <v>T_02</v>
      </c>
      <c r="J40" s="59">
        <v>3</v>
      </c>
      <c r="K40" s="60">
        <f t="shared" si="31"/>
        <v>43835</v>
      </c>
      <c r="O40" s="124">
        <v>16</v>
      </c>
      <c r="P40" s="124" t="str">
        <f t="shared" ca="1" si="25"/>
        <v>Holeby</v>
      </c>
      <c r="Q40" s="124" t="str">
        <f t="shared" ca="1" si="26"/>
        <v>Bogense</v>
      </c>
      <c r="R40" s="135"/>
      <c r="S40" s="125" t="str">
        <f>IFERROR(S39+mMin,"-")</f>
        <v>-</v>
      </c>
      <c r="T40" s="149"/>
      <c r="U40" s="150"/>
      <c r="V40" s="151"/>
      <c r="W40" s="126" t="str">
        <f t="shared" si="27"/>
        <v>-</v>
      </c>
      <c r="X40" s="126" t="str">
        <f t="shared" si="28"/>
        <v>-</v>
      </c>
    </row>
    <row r="41" spans="3:24" ht="17.399999999999999" x14ac:dyDescent="0.35">
      <c r="C41" s="56" t="s">
        <v>106</v>
      </c>
      <c r="D41" s="57">
        <f t="shared" si="29"/>
        <v>0</v>
      </c>
      <c r="E41" s="56">
        <v>17</v>
      </c>
      <c r="F41" s="58">
        <f t="shared" si="22"/>
        <v>5</v>
      </c>
      <c r="G41" s="58">
        <f t="shared" si="23"/>
        <v>2</v>
      </c>
      <c r="H41" s="59" t="str">
        <f t="shared" si="30"/>
        <v>T_01</v>
      </c>
      <c r="I41" s="59" t="str">
        <f t="shared" si="24"/>
        <v>T_04</v>
      </c>
      <c r="J41" s="59">
        <v>4</v>
      </c>
      <c r="K41" s="60">
        <f t="shared" si="31"/>
        <v>43836</v>
      </c>
      <c r="O41" s="122">
        <v>17</v>
      </c>
      <c r="P41" s="122" t="str">
        <f t="shared" ca="1" si="25"/>
        <v>Assens</v>
      </c>
      <c r="Q41" s="122" t="str">
        <f t="shared" ca="1" si="26"/>
        <v>Dragør</v>
      </c>
      <c r="R41" s="134"/>
      <c r="S41" s="123" t="s">
        <v>33</v>
      </c>
      <c r="T41" s="146"/>
      <c r="U41" s="147"/>
      <c r="V41" s="148"/>
      <c r="W41" s="121" t="str">
        <f t="shared" si="27"/>
        <v>-</v>
      </c>
      <c r="X41" s="121" t="str">
        <f t="shared" si="28"/>
        <v>-</v>
      </c>
    </row>
    <row r="42" spans="3:24" ht="17.399999999999999" x14ac:dyDescent="0.35">
      <c r="C42" s="56" t="s">
        <v>107</v>
      </c>
      <c r="D42" s="57">
        <f t="shared" si="29"/>
        <v>0</v>
      </c>
      <c r="E42" s="56">
        <v>18</v>
      </c>
      <c r="F42" s="58">
        <f t="shared" si="22"/>
        <v>4</v>
      </c>
      <c r="G42" s="58">
        <f t="shared" si="23"/>
        <v>6</v>
      </c>
      <c r="H42" s="59" t="str">
        <f t="shared" si="30"/>
        <v>T_05</v>
      </c>
      <c r="I42" s="59" t="str">
        <f t="shared" si="24"/>
        <v>T_03</v>
      </c>
      <c r="J42" s="59">
        <v>4</v>
      </c>
      <c r="K42" s="60">
        <f t="shared" si="31"/>
        <v>43836</v>
      </c>
      <c r="O42" s="122">
        <v>18</v>
      </c>
      <c r="P42" s="122" t="str">
        <f t="shared" ca="1" si="25"/>
        <v>Ejby</v>
      </c>
      <c r="Q42" s="122" t="str">
        <f t="shared" ca="1" si="26"/>
        <v>Christiansfelt</v>
      </c>
      <c r="R42" s="134"/>
      <c r="S42" s="123" t="str">
        <f>IFERROR(S41+mMin,"-")</f>
        <v>-</v>
      </c>
      <c r="T42" s="146"/>
      <c r="U42" s="147"/>
      <c r="V42" s="148"/>
      <c r="W42" s="121" t="str">
        <f t="shared" si="27"/>
        <v>-</v>
      </c>
      <c r="X42" s="121" t="str">
        <f t="shared" si="28"/>
        <v>-</v>
      </c>
    </row>
    <row r="43" spans="3:24" ht="17.399999999999999" x14ac:dyDescent="0.35">
      <c r="C43" s="56" t="s">
        <v>108</v>
      </c>
      <c r="D43" s="57">
        <f t="shared" si="29"/>
        <v>0</v>
      </c>
      <c r="E43" s="56">
        <v>19</v>
      </c>
      <c r="F43" s="58">
        <f t="shared" si="22"/>
        <v>3</v>
      </c>
      <c r="G43" s="58">
        <f t="shared" si="23"/>
        <v>7</v>
      </c>
      <c r="H43" s="59" t="str">
        <f t="shared" si="30"/>
        <v>T_06</v>
      </c>
      <c r="I43" s="59" t="str">
        <f t="shared" si="24"/>
        <v>T_02</v>
      </c>
      <c r="J43" s="59">
        <v>4</v>
      </c>
      <c r="K43" s="60">
        <f t="shared" si="31"/>
        <v>43836</v>
      </c>
      <c r="O43" s="122">
        <v>19</v>
      </c>
      <c r="P43" s="122" t="str">
        <f t="shared" ca="1" si="25"/>
        <v>Fjerritslev</v>
      </c>
      <c r="Q43" s="122" t="str">
        <f t="shared" ca="1" si="26"/>
        <v>Bogense</v>
      </c>
      <c r="R43" s="134"/>
      <c r="S43" s="123" t="str">
        <f>IFERROR(S42+mMin,"-")</f>
        <v>-</v>
      </c>
      <c r="T43" s="146"/>
      <c r="U43" s="147"/>
      <c r="V43" s="148"/>
      <c r="W43" s="121" t="str">
        <f t="shared" si="27"/>
        <v>-</v>
      </c>
      <c r="X43" s="121" t="str">
        <f t="shared" si="28"/>
        <v>-</v>
      </c>
    </row>
    <row r="44" spans="3:24" ht="18" thickBot="1" x14ac:dyDescent="0.4">
      <c r="C44" s="56" t="s">
        <v>115</v>
      </c>
      <c r="D44" s="57">
        <f t="shared" si="29"/>
        <v>0</v>
      </c>
      <c r="E44" s="56">
        <v>20</v>
      </c>
      <c r="F44" s="58">
        <f t="shared" si="22"/>
        <v>9</v>
      </c>
      <c r="G44" s="58">
        <f t="shared" si="23"/>
        <v>8</v>
      </c>
      <c r="H44" s="59" t="str">
        <f t="shared" si="30"/>
        <v>T_07</v>
      </c>
      <c r="I44" s="59" t="str">
        <f t="shared" si="24"/>
        <v>T_08</v>
      </c>
      <c r="J44" s="59">
        <v>4</v>
      </c>
      <c r="K44" s="60">
        <f t="shared" si="31"/>
        <v>43836</v>
      </c>
      <c r="O44" s="124">
        <v>20</v>
      </c>
      <c r="P44" s="124" t="str">
        <f t="shared" ca="1" si="25"/>
        <v>Glamsbjerg</v>
      </c>
      <c r="Q44" s="124" t="str">
        <f t="shared" ca="1" si="26"/>
        <v>Holeby</v>
      </c>
      <c r="R44" s="135"/>
      <c r="S44" s="125" t="str">
        <f>IFERROR(S43+mMin,"-")</f>
        <v>-</v>
      </c>
      <c r="T44" s="149"/>
      <c r="U44" s="150"/>
      <c r="V44" s="151"/>
      <c r="W44" s="126" t="str">
        <f t="shared" si="27"/>
        <v>-</v>
      </c>
      <c r="X44" s="126" t="str">
        <f t="shared" si="28"/>
        <v>-</v>
      </c>
    </row>
    <row r="45" spans="3:24" ht="17.399999999999999" x14ac:dyDescent="0.35">
      <c r="C45" s="56" t="s">
        <v>111</v>
      </c>
      <c r="D45" s="57">
        <f t="shared" si="29"/>
        <v>0</v>
      </c>
      <c r="E45" s="56">
        <v>21</v>
      </c>
      <c r="F45" s="58">
        <f t="shared" si="22"/>
        <v>2</v>
      </c>
      <c r="G45" s="58">
        <f t="shared" si="23"/>
        <v>4</v>
      </c>
      <c r="H45" s="59" t="str">
        <f t="shared" si="30"/>
        <v>T_03</v>
      </c>
      <c r="I45" s="59" t="str">
        <f t="shared" si="24"/>
        <v>T_01</v>
      </c>
      <c r="J45" s="59">
        <v>5</v>
      </c>
      <c r="K45" s="60">
        <f t="shared" si="31"/>
        <v>43837</v>
      </c>
      <c r="O45" s="122">
        <v>21</v>
      </c>
      <c r="P45" s="122" t="str">
        <f t="shared" ca="1" si="25"/>
        <v>Christiansfelt</v>
      </c>
      <c r="Q45" s="122" t="str">
        <f t="shared" ca="1" si="26"/>
        <v>Assens</v>
      </c>
      <c r="R45" s="134"/>
      <c r="S45" s="123" t="s">
        <v>33</v>
      </c>
      <c r="T45" s="146"/>
      <c r="U45" s="147"/>
      <c r="V45" s="148"/>
      <c r="W45" s="121" t="str">
        <f t="shared" si="27"/>
        <v>-</v>
      </c>
      <c r="X45" s="121" t="str">
        <f t="shared" si="28"/>
        <v>-</v>
      </c>
    </row>
    <row r="46" spans="3:24" ht="17.399999999999999" x14ac:dyDescent="0.35">
      <c r="C46" s="56" t="s">
        <v>112</v>
      </c>
      <c r="D46" s="57">
        <f t="shared" si="29"/>
        <v>0</v>
      </c>
      <c r="E46" s="56">
        <v>22</v>
      </c>
      <c r="F46" s="58">
        <f t="shared" si="22"/>
        <v>3</v>
      </c>
      <c r="G46" s="58">
        <f t="shared" si="23"/>
        <v>5</v>
      </c>
      <c r="H46" s="59" t="str">
        <f t="shared" si="30"/>
        <v>T_04</v>
      </c>
      <c r="I46" s="59" t="str">
        <f t="shared" si="24"/>
        <v>T_02</v>
      </c>
      <c r="J46" s="59">
        <v>5</v>
      </c>
      <c r="K46" s="60">
        <f t="shared" si="31"/>
        <v>43837</v>
      </c>
      <c r="O46" s="122">
        <v>22</v>
      </c>
      <c r="P46" s="122" t="str">
        <f t="shared" ca="1" si="25"/>
        <v>Dragør</v>
      </c>
      <c r="Q46" s="122" t="str">
        <f t="shared" ca="1" si="26"/>
        <v>Bogense</v>
      </c>
      <c r="R46" s="134"/>
      <c r="S46" s="123" t="str">
        <f>IFERROR(S45+mMin,"-")</f>
        <v>-</v>
      </c>
      <c r="T46" s="146"/>
      <c r="U46" s="147"/>
      <c r="V46" s="148"/>
      <c r="W46" s="121" t="str">
        <f t="shared" si="27"/>
        <v>-</v>
      </c>
      <c r="X46" s="121" t="str">
        <f t="shared" si="28"/>
        <v>-</v>
      </c>
    </row>
    <row r="47" spans="3:24" ht="17.399999999999999" x14ac:dyDescent="0.35">
      <c r="C47" s="56" t="s">
        <v>119</v>
      </c>
      <c r="D47" s="57">
        <f t="shared" si="29"/>
        <v>0</v>
      </c>
      <c r="E47" s="56">
        <v>23</v>
      </c>
      <c r="F47" s="58">
        <f t="shared" si="22"/>
        <v>9</v>
      </c>
      <c r="G47" s="58">
        <f t="shared" si="23"/>
        <v>6</v>
      </c>
      <c r="H47" s="59" t="str">
        <f t="shared" si="30"/>
        <v>T_05</v>
      </c>
      <c r="I47" s="59" t="str">
        <f t="shared" si="24"/>
        <v>T_08</v>
      </c>
      <c r="J47" s="59">
        <v>5</v>
      </c>
      <c r="K47" s="60">
        <f t="shared" si="31"/>
        <v>43837</v>
      </c>
      <c r="O47" s="122">
        <v>23</v>
      </c>
      <c r="P47" s="122" t="str">
        <f t="shared" ca="1" si="25"/>
        <v>Ejby</v>
      </c>
      <c r="Q47" s="122" t="str">
        <f t="shared" ca="1" si="26"/>
        <v>Holeby</v>
      </c>
      <c r="R47" s="134"/>
      <c r="S47" s="123" t="str">
        <f>IFERROR(S46+mMin,"-")</f>
        <v>-</v>
      </c>
      <c r="T47" s="146"/>
      <c r="U47" s="147"/>
      <c r="V47" s="148"/>
      <c r="W47" s="121" t="str">
        <f t="shared" si="27"/>
        <v>-</v>
      </c>
      <c r="X47" s="121" t="str">
        <f t="shared" si="28"/>
        <v>-</v>
      </c>
    </row>
    <row r="48" spans="3:24" ht="18" thickBot="1" x14ac:dyDescent="0.4">
      <c r="C48" s="56" t="s">
        <v>120</v>
      </c>
      <c r="D48" s="57">
        <f t="shared" si="29"/>
        <v>0</v>
      </c>
      <c r="E48" s="56">
        <v>24</v>
      </c>
      <c r="F48" s="58">
        <f t="shared" si="22"/>
        <v>8</v>
      </c>
      <c r="G48" s="58">
        <f t="shared" si="23"/>
        <v>7</v>
      </c>
      <c r="H48" s="59" t="str">
        <f t="shared" si="30"/>
        <v>T_06</v>
      </c>
      <c r="I48" s="59" t="str">
        <f t="shared" si="24"/>
        <v>T_07</v>
      </c>
      <c r="J48" s="59">
        <v>5</v>
      </c>
      <c r="K48" s="60">
        <f t="shared" si="31"/>
        <v>43837</v>
      </c>
      <c r="O48" s="124">
        <v>24</v>
      </c>
      <c r="P48" s="124" t="str">
        <f t="shared" ca="1" si="25"/>
        <v>Fjerritslev</v>
      </c>
      <c r="Q48" s="124" t="str">
        <f t="shared" ca="1" si="26"/>
        <v>Glamsbjerg</v>
      </c>
      <c r="R48" s="135"/>
      <c r="S48" s="125" t="str">
        <f>IFERROR(S47+mMin,"-")</f>
        <v>-</v>
      </c>
      <c r="T48" s="149"/>
      <c r="U48" s="150"/>
      <c r="V48" s="151"/>
      <c r="W48" s="126" t="str">
        <f t="shared" si="27"/>
        <v>-</v>
      </c>
      <c r="X48" s="126" t="str">
        <f t="shared" si="28"/>
        <v>-</v>
      </c>
    </row>
    <row r="49" spans="3:24" ht="17.399999999999999" x14ac:dyDescent="0.35">
      <c r="C49" s="56" t="s">
        <v>116</v>
      </c>
      <c r="D49" s="57">
        <f t="shared" si="29"/>
        <v>0</v>
      </c>
      <c r="E49" s="56">
        <v>25</v>
      </c>
      <c r="F49" s="58">
        <f t="shared" si="22"/>
        <v>3</v>
      </c>
      <c r="G49" s="58">
        <f t="shared" si="23"/>
        <v>2</v>
      </c>
      <c r="H49" s="59" t="str">
        <f t="shared" si="30"/>
        <v>T_01</v>
      </c>
      <c r="I49" s="59" t="str">
        <f t="shared" si="24"/>
        <v>T_02</v>
      </c>
      <c r="J49" s="59">
        <v>6</v>
      </c>
      <c r="K49" s="60">
        <f t="shared" si="31"/>
        <v>43838</v>
      </c>
      <c r="O49" s="122">
        <v>25</v>
      </c>
      <c r="P49" s="122" t="str">
        <f t="shared" ca="1" si="25"/>
        <v>Assens</v>
      </c>
      <c r="Q49" s="122" t="str">
        <f t="shared" ca="1" si="26"/>
        <v>Bogense</v>
      </c>
      <c r="R49" s="134"/>
      <c r="S49" s="123" t="s">
        <v>33</v>
      </c>
      <c r="T49" s="146"/>
      <c r="U49" s="147"/>
      <c r="V49" s="148"/>
      <c r="W49" s="121" t="str">
        <f t="shared" si="27"/>
        <v>-</v>
      </c>
      <c r="X49" s="121" t="str">
        <f t="shared" si="28"/>
        <v>-</v>
      </c>
    </row>
    <row r="50" spans="3:24" ht="17.399999999999999" x14ac:dyDescent="0.35">
      <c r="C50" s="56" t="s">
        <v>78</v>
      </c>
      <c r="D50" s="57">
        <f t="shared" si="29"/>
        <v>0</v>
      </c>
      <c r="E50" s="56">
        <v>26</v>
      </c>
      <c r="F50" s="58">
        <f t="shared" si="22"/>
        <v>9</v>
      </c>
      <c r="G50" s="58">
        <f t="shared" si="23"/>
        <v>4</v>
      </c>
      <c r="H50" s="59" t="str">
        <f t="shared" si="30"/>
        <v>T_03</v>
      </c>
      <c r="I50" s="59" t="str">
        <f t="shared" si="24"/>
        <v>T_08</v>
      </c>
      <c r="J50" s="59">
        <v>6</v>
      </c>
      <c r="K50" s="60">
        <f t="shared" si="31"/>
        <v>43838</v>
      </c>
      <c r="O50" s="122">
        <v>26</v>
      </c>
      <c r="P50" s="122" t="str">
        <f t="shared" ca="1" si="25"/>
        <v>Christiansfelt</v>
      </c>
      <c r="Q50" s="122" t="str">
        <f t="shared" ca="1" si="26"/>
        <v>Holeby</v>
      </c>
      <c r="R50" s="134"/>
      <c r="S50" s="123" t="str">
        <f>IFERROR(S49+mMin,"-")</f>
        <v>-</v>
      </c>
      <c r="T50" s="146"/>
      <c r="U50" s="147"/>
      <c r="V50" s="148"/>
      <c r="W50" s="121" t="str">
        <f t="shared" si="27"/>
        <v>-</v>
      </c>
      <c r="X50" s="121" t="str">
        <f t="shared" si="28"/>
        <v>-</v>
      </c>
    </row>
    <row r="51" spans="3:24" ht="17.399999999999999" x14ac:dyDescent="0.35">
      <c r="C51" s="56" t="s">
        <v>79</v>
      </c>
      <c r="D51" s="57">
        <f t="shared" si="29"/>
        <v>0</v>
      </c>
      <c r="E51" s="56">
        <v>27</v>
      </c>
      <c r="F51" s="58">
        <f t="shared" si="22"/>
        <v>8</v>
      </c>
      <c r="G51" s="58">
        <f t="shared" si="23"/>
        <v>5</v>
      </c>
      <c r="H51" s="59" t="str">
        <f t="shared" si="30"/>
        <v>T_04</v>
      </c>
      <c r="I51" s="59" t="str">
        <f t="shared" si="24"/>
        <v>T_07</v>
      </c>
      <c r="J51" s="59">
        <v>6</v>
      </c>
      <c r="K51" s="60">
        <f t="shared" si="31"/>
        <v>43838</v>
      </c>
      <c r="O51" s="122">
        <v>27</v>
      </c>
      <c r="P51" s="122" t="str">
        <f t="shared" ca="1" si="25"/>
        <v>Dragør</v>
      </c>
      <c r="Q51" s="122" t="str">
        <f t="shared" ca="1" si="26"/>
        <v>Glamsbjerg</v>
      </c>
      <c r="R51" s="134"/>
      <c r="S51" s="123" t="str">
        <f>IFERROR(S50+mMin,"-")</f>
        <v>-</v>
      </c>
      <c r="T51" s="146"/>
      <c r="U51" s="147"/>
      <c r="V51" s="148"/>
      <c r="W51" s="121" t="str">
        <f t="shared" si="27"/>
        <v>-</v>
      </c>
      <c r="X51" s="121" t="str">
        <f t="shared" si="28"/>
        <v>-</v>
      </c>
    </row>
    <row r="52" spans="3:24" ht="18" thickBot="1" x14ac:dyDescent="0.4">
      <c r="C52" s="56" t="s">
        <v>80</v>
      </c>
      <c r="D52" s="57">
        <f t="shared" si="29"/>
        <v>0</v>
      </c>
      <c r="E52" s="56">
        <v>28</v>
      </c>
      <c r="F52" s="58">
        <f t="shared" si="22"/>
        <v>7</v>
      </c>
      <c r="G52" s="58">
        <f t="shared" si="23"/>
        <v>6</v>
      </c>
      <c r="H52" s="59" t="str">
        <f t="shared" si="30"/>
        <v>T_05</v>
      </c>
      <c r="I52" s="59" t="str">
        <f t="shared" si="24"/>
        <v>T_06</v>
      </c>
      <c r="J52" s="59">
        <v>6</v>
      </c>
      <c r="K52" s="60">
        <f t="shared" si="31"/>
        <v>43838</v>
      </c>
      <c r="O52" s="167">
        <v>28</v>
      </c>
      <c r="P52" s="167" t="str">
        <f t="shared" ca="1" si="25"/>
        <v>Ejby</v>
      </c>
      <c r="Q52" s="167" t="str">
        <f t="shared" ca="1" si="26"/>
        <v>Fjerritslev</v>
      </c>
      <c r="R52" s="168"/>
      <c r="S52" s="169" t="str">
        <f>IFERROR(S51+mMin,"-")</f>
        <v>-</v>
      </c>
      <c r="T52" s="170"/>
      <c r="U52" s="171"/>
      <c r="V52" s="172"/>
      <c r="W52" s="173" t="str">
        <f t="shared" si="27"/>
        <v>-</v>
      </c>
      <c r="X52" s="173" t="str">
        <f t="shared" si="28"/>
        <v>-</v>
      </c>
    </row>
    <row r="53" spans="3:24" ht="18" thickTop="1" x14ac:dyDescent="0.35">
      <c r="C53" s="56" t="s">
        <v>131</v>
      </c>
      <c r="D53" s="57">
        <f t="shared" si="29"/>
        <v>0</v>
      </c>
      <c r="E53" s="56">
        <v>29</v>
      </c>
      <c r="F53" s="58">
        <f t="shared" si="22"/>
        <v>2</v>
      </c>
      <c r="G53" s="58">
        <f t="shared" si="23"/>
        <v>9</v>
      </c>
      <c r="H53" s="59" t="str">
        <f t="shared" si="30"/>
        <v>T_08</v>
      </c>
      <c r="I53" s="59" t="str">
        <f t="shared" si="24"/>
        <v>T_01</v>
      </c>
      <c r="J53" s="59">
        <v>7</v>
      </c>
      <c r="K53" s="60">
        <f t="shared" si="31"/>
        <v>43839</v>
      </c>
      <c r="O53" s="160">
        <v>29</v>
      </c>
      <c r="P53" s="160" t="str">
        <f t="shared" ca="1" si="25"/>
        <v>Holeby</v>
      </c>
      <c r="Q53" s="160" t="str">
        <f t="shared" ca="1" si="26"/>
        <v>Assens</v>
      </c>
      <c r="R53" s="161"/>
      <c r="S53" s="162" t="s">
        <v>33</v>
      </c>
      <c r="T53" s="163"/>
      <c r="U53" s="164"/>
      <c r="V53" s="165"/>
      <c r="W53" s="166" t="str">
        <f t="shared" si="27"/>
        <v>-</v>
      </c>
      <c r="X53" s="166" t="str">
        <f t="shared" si="28"/>
        <v>-</v>
      </c>
    </row>
    <row r="54" spans="3:24" ht="17.399999999999999" x14ac:dyDescent="0.35">
      <c r="C54" s="56" t="s">
        <v>128</v>
      </c>
      <c r="D54" s="57">
        <f t="shared" si="29"/>
        <v>0</v>
      </c>
      <c r="E54" s="56">
        <v>30</v>
      </c>
      <c r="F54" s="58">
        <f t="shared" si="22"/>
        <v>3</v>
      </c>
      <c r="G54" s="58">
        <f t="shared" si="23"/>
        <v>8</v>
      </c>
      <c r="H54" s="59" t="str">
        <f t="shared" si="30"/>
        <v>T_07</v>
      </c>
      <c r="I54" s="59" t="str">
        <f t="shared" si="24"/>
        <v>T_02</v>
      </c>
      <c r="J54" s="59">
        <v>7</v>
      </c>
      <c r="K54" s="60">
        <f t="shared" si="31"/>
        <v>43839</v>
      </c>
      <c r="O54" s="122">
        <v>30</v>
      </c>
      <c r="P54" s="122" t="str">
        <f t="shared" ca="1" si="25"/>
        <v>Glamsbjerg</v>
      </c>
      <c r="Q54" s="122" t="str">
        <f t="shared" ca="1" si="26"/>
        <v>Bogense</v>
      </c>
      <c r="R54" s="134"/>
      <c r="S54" s="123" t="str">
        <f>IFERROR(S53+mMin,"-")</f>
        <v>-</v>
      </c>
      <c r="T54" s="146"/>
      <c r="U54" s="147"/>
      <c r="V54" s="148"/>
      <c r="W54" s="121" t="str">
        <f t="shared" si="27"/>
        <v>-</v>
      </c>
      <c r="X54" s="121" t="str">
        <f t="shared" si="28"/>
        <v>-</v>
      </c>
    </row>
    <row r="55" spans="3:24" ht="17.399999999999999" x14ac:dyDescent="0.35">
      <c r="C55" s="56" t="s">
        <v>129</v>
      </c>
      <c r="D55" s="57">
        <f t="shared" si="29"/>
        <v>0</v>
      </c>
      <c r="E55" s="56">
        <v>31</v>
      </c>
      <c r="F55" s="58">
        <f t="shared" si="22"/>
        <v>4</v>
      </c>
      <c r="G55" s="58">
        <f t="shared" si="23"/>
        <v>7</v>
      </c>
      <c r="H55" s="59" t="str">
        <f t="shared" si="30"/>
        <v>T_06</v>
      </c>
      <c r="I55" s="59" t="str">
        <f t="shared" si="24"/>
        <v>T_03</v>
      </c>
      <c r="J55" s="59">
        <v>7</v>
      </c>
      <c r="K55" s="60">
        <f t="shared" si="31"/>
        <v>43839</v>
      </c>
      <c r="O55" s="122">
        <v>31</v>
      </c>
      <c r="P55" s="122" t="str">
        <f t="shared" ca="1" si="25"/>
        <v>Fjerritslev</v>
      </c>
      <c r="Q55" s="122" t="str">
        <f t="shared" ca="1" si="26"/>
        <v>Christiansfelt</v>
      </c>
      <c r="R55" s="134"/>
      <c r="S55" s="123" t="str">
        <f>IFERROR(S54+mMin,"-")</f>
        <v>-</v>
      </c>
      <c r="T55" s="146"/>
      <c r="U55" s="147"/>
      <c r="V55" s="148"/>
      <c r="W55" s="121" t="str">
        <f t="shared" si="27"/>
        <v>-</v>
      </c>
      <c r="X55" s="121" t="str">
        <f t="shared" si="28"/>
        <v>-</v>
      </c>
    </row>
    <row r="56" spans="3:24" ht="18" thickBot="1" x14ac:dyDescent="0.4">
      <c r="C56" s="56" t="s">
        <v>130</v>
      </c>
      <c r="D56" s="57">
        <f t="shared" si="29"/>
        <v>0</v>
      </c>
      <c r="E56" s="56">
        <v>32</v>
      </c>
      <c r="F56" s="58">
        <f t="shared" si="22"/>
        <v>5</v>
      </c>
      <c r="G56" s="58">
        <f t="shared" si="23"/>
        <v>6</v>
      </c>
      <c r="H56" s="59" t="str">
        <f t="shared" si="30"/>
        <v>T_05</v>
      </c>
      <c r="I56" s="59" t="str">
        <f t="shared" si="24"/>
        <v>T_04</v>
      </c>
      <c r="J56" s="59">
        <v>7</v>
      </c>
      <c r="K56" s="60">
        <f t="shared" si="31"/>
        <v>43839</v>
      </c>
      <c r="O56" s="124">
        <v>32</v>
      </c>
      <c r="P56" s="124" t="str">
        <f t="shared" ca="1" si="25"/>
        <v>Ejby</v>
      </c>
      <c r="Q56" s="124" t="str">
        <f t="shared" ca="1" si="26"/>
        <v>Dragør</v>
      </c>
      <c r="R56" s="135"/>
      <c r="S56" s="125" t="str">
        <f>IFERROR(S55+mMin,"-")</f>
        <v>-</v>
      </c>
      <c r="T56" s="149"/>
      <c r="U56" s="150"/>
      <c r="V56" s="151"/>
      <c r="W56" s="126" t="str">
        <f t="shared" si="27"/>
        <v>-</v>
      </c>
      <c r="X56" s="126" t="str">
        <f t="shared" si="28"/>
        <v>-</v>
      </c>
    </row>
    <row r="57" spans="3:24" ht="17.399999999999999" x14ac:dyDescent="0.35">
      <c r="C57" s="56" t="s">
        <v>136</v>
      </c>
      <c r="D57" s="57">
        <f t="shared" si="29"/>
        <v>0</v>
      </c>
      <c r="E57" s="56">
        <v>33</v>
      </c>
      <c r="F57" s="58">
        <f t="shared" si="22"/>
        <v>8</v>
      </c>
      <c r="G57" s="58">
        <f t="shared" si="23"/>
        <v>2</v>
      </c>
      <c r="H57" s="59" t="str">
        <f t="shared" ref="H57:H80" si="32">INDEX(HxA,G57,1)</f>
        <v>T_01</v>
      </c>
      <c r="I57" s="59" t="str">
        <f t="shared" ref="I57:I80" si="33">INDEX(HxA,1,F57)</f>
        <v>T_07</v>
      </c>
      <c r="J57" s="59">
        <v>8</v>
      </c>
      <c r="K57" s="60">
        <f t="shared" si="31"/>
        <v>43840</v>
      </c>
      <c r="O57" s="122">
        <v>33</v>
      </c>
      <c r="P57" s="122" t="str">
        <f t="shared" ref="P57:P80" ca="1" si="34">INDIRECT(H57)</f>
        <v>Assens</v>
      </c>
      <c r="Q57" s="122" t="str">
        <f t="shared" ref="Q57:Q80" ca="1" si="35">INDIRECT(I57)</f>
        <v>Glamsbjerg</v>
      </c>
      <c r="R57" s="134"/>
      <c r="S57" s="123" t="s">
        <v>33</v>
      </c>
      <c r="T57" s="146"/>
      <c r="U57" s="147"/>
      <c r="V57" s="148"/>
      <c r="W57" s="121" t="str">
        <f t="shared" si="27"/>
        <v>-</v>
      </c>
      <c r="X57" s="121" t="str">
        <f t="shared" si="28"/>
        <v>-</v>
      </c>
    </row>
    <row r="58" spans="3:24" ht="17.399999999999999" x14ac:dyDescent="0.35">
      <c r="C58" s="56" t="s">
        <v>137</v>
      </c>
      <c r="D58" s="57">
        <f t="shared" ref="D58:D80" si="36">OR(H58=H57,H58=I57,I58=H57,I58=I57)*1</f>
        <v>0</v>
      </c>
      <c r="E58" s="56">
        <v>34</v>
      </c>
      <c r="F58" s="58">
        <f t="shared" si="22"/>
        <v>9</v>
      </c>
      <c r="G58" s="58">
        <f t="shared" si="23"/>
        <v>7</v>
      </c>
      <c r="H58" s="59" t="str">
        <f t="shared" si="32"/>
        <v>T_06</v>
      </c>
      <c r="I58" s="59" t="str">
        <f t="shared" si="33"/>
        <v>T_08</v>
      </c>
      <c r="J58" s="59">
        <v>8</v>
      </c>
      <c r="K58" s="60">
        <f t="shared" ref="K58:K80" si="37">$K$25+J58</f>
        <v>43840</v>
      </c>
      <c r="O58" s="122">
        <v>34</v>
      </c>
      <c r="P58" s="122" t="str">
        <f t="shared" ca="1" si="34"/>
        <v>Fjerritslev</v>
      </c>
      <c r="Q58" s="122" t="str">
        <f t="shared" ca="1" si="35"/>
        <v>Holeby</v>
      </c>
      <c r="R58" s="134"/>
      <c r="S58" s="123" t="str">
        <f>IFERROR(S57+mMin,"-")</f>
        <v>-</v>
      </c>
      <c r="T58" s="146"/>
      <c r="U58" s="147"/>
      <c r="V58" s="148"/>
      <c r="W58" s="121" t="str">
        <f t="shared" si="27"/>
        <v>-</v>
      </c>
      <c r="X58" s="121" t="str">
        <f t="shared" si="28"/>
        <v>-</v>
      </c>
    </row>
    <row r="59" spans="3:24" ht="17.399999999999999" x14ac:dyDescent="0.35">
      <c r="C59" s="56" t="s">
        <v>134</v>
      </c>
      <c r="D59" s="57">
        <f t="shared" si="36"/>
        <v>0</v>
      </c>
      <c r="E59" s="56">
        <v>35</v>
      </c>
      <c r="F59" s="58">
        <f t="shared" si="22"/>
        <v>3</v>
      </c>
      <c r="G59" s="58">
        <f t="shared" si="23"/>
        <v>6</v>
      </c>
      <c r="H59" s="59" t="str">
        <f t="shared" si="32"/>
        <v>T_05</v>
      </c>
      <c r="I59" s="59" t="str">
        <f t="shared" si="33"/>
        <v>T_02</v>
      </c>
      <c r="J59" s="59">
        <v>8</v>
      </c>
      <c r="K59" s="60">
        <f t="shared" si="37"/>
        <v>43840</v>
      </c>
      <c r="O59" s="122">
        <v>35</v>
      </c>
      <c r="P59" s="122" t="str">
        <f t="shared" ca="1" si="34"/>
        <v>Ejby</v>
      </c>
      <c r="Q59" s="122" t="str">
        <f t="shared" ca="1" si="35"/>
        <v>Bogense</v>
      </c>
      <c r="R59" s="134"/>
      <c r="S59" s="123" t="str">
        <f>IFERROR(S58+mMin,"-")</f>
        <v>-</v>
      </c>
      <c r="T59" s="146"/>
      <c r="U59" s="147"/>
      <c r="V59" s="148"/>
      <c r="W59" s="121" t="str">
        <f t="shared" si="27"/>
        <v>-</v>
      </c>
      <c r="X59" s="121" t="str">
        <f t="shared" si="28"/>
        <v>-</v>
      </c>
    </row>
    <row r="60" spans="3:24" ht="18" thickBot="1" x14ac:dyDescent="0.4">
      <c r="C60" s="56" t="s">
        <v>135</v>
      </c>
      <c r="D60" s="57">
        <f t="shared" si="36"/>
        <v>0</v>
      </c>
      <c r="E60" s="56">
        <v>36</v>
      </c>
      <c r="F60" s="58">
        <f t="shared" si="22"/>
        <v>4</v>
      </c>
      <c r="G60" s="58">
        <f t="shared" si="23"/>
        <v>5</v>
      </c>
      <c r="H60" s="59" t="str">
        <f t="shared" si="32"/>
        <v>T_04</v>
      </c>
      <c r="I60" s="59" t="str">
        <f t="shared" si="33"/>
        <v>T_03</v>
      </c>
      <c r="J60" s="59">
        <v>8</v>
      </c>
      <c r="K60" s="60">
        <f t="shared" si="37"/>
        <v>43840</v>
      </c>
      <c r="O60" s="124">
        <v>36</v>
      </c>
      <c r="P60" s="124" t="str">
        <f t="shared" ca="1" si="34"/>
        <v>Dragør</v>
      </c>
      <c r="Q60" s="124" t="str">
        <f t="shared" ca="1" si="35"/>
        <v>Christiansfelt</v>
      </c>
      <c r="R60" s="135"/>
      <c r="S60" s="125" t="str">
        <f>IFERROR(S59+mMin,"-")</f>
        <v>-</v>
      </c>
      <c r="T60" s="149"/>
      <c r="U60" s="150"/>
      <c r="V60" s="151"/>
      <c r="W60" s="126" t="str">
        <f t="shared" si="27"/>
        <v>-</v>
      </c>
      <c r="X60" s="126" t="str">
        <f t="shared" si="28"/>
        <v>-</v>
      </c>
    </row>
    <row r="61" spans="3:24" ht="17.399999999999999" x14ac:dyDescent="0.35">
      <c r="C61" s="56" t="s">
        <v>141</v>
      </c>
      <c r="D61" s="57">
        <f t="shared" si="36"/>
        <v>0</v>
      </c>
      <c r="E61" s="56">
        <v>37</v>
      </c>
      <c r="F61" s="58">
        <f t="shared" si="22"/>
        <v>2</v>
      </c>
      <c r="G61" s="58">
        <f t="shared" si="23"/>
        <v>7</v>
      </c>
      <c r="H61" s="59" t="str">
        <f t="shared" si="32"/>
        <v>T_06</v>
      </c>
      <c r="I61" s="59" t="str">
        <f t="shared" si="33"/>
        <v>T_01</v>
      </c>
      <c r="J61" s="59">
        <v>9</v>
      </c>
      <c r="K61" s="60">
        <f t="shared" si="37"/>
        <v>43841</v>
      </c>
      <c r="O61" s="122">
        <v>37</v>
      </c>
      <c r="P61" s="122" t="str">
        <f t="shared" ca="1" si="34"/>
        <v>Fjerritslev</v>
      </c>
      <c r="Q61" s="122" t="str">
        <f t="shared" ca="1" si="35"/>
        <v>Assens</v>
      </c>
      <c r="R61" s="134"/>
      <c r="S61" s="123" t="s">
        <v>33</v>
      </c>
      <c r="T61" s="146"/>
      <c r="U61" s="147"/>
      <c r="V61" s="148"/>
      <c r="W61" s="121" t="str">
        <f t="shared" si="27"/>
        <v>-</v>
      </c>
      <c r="X61" s="121" t="str">
        <f t="shared" si="28"/>
        <v>-</v>
      </c>
    </row>
    <row r="62" spans="3:24" ht="17.399999999999999" x14ac:dyDescent="0.35">
      <c r="C62" s="56" t="s">
        <v>142</v>
      </c>
      <c r="D62" s="57">
        <f t="shared" si="36"/>
        <v>0</v>
      </c>
      <c r="E62" s="56">
        <v>38</v>
      </c>
      <c r="F62" s="58">
        <f t="shared" si="22"/>
        <v>8</v>
      </c>
      <c r="G62" s="58">
        <f t="shared" si="23"/>
        <v>6</v>
      </c>
      <c r="H62" s="59" t="str">
        <f t="shared" si="32"/>
        <v>T_05</v>
      </c>
      <c r="I62" s="59" t="str">
        <f t="shared" si="33"/>
        <v>T_07</v>
      </c>
      <c r="J62" s="59">
        <v>9</v>
      </c>
      <c r="K62" s="60">
        <f t="shared" si="37"/>
        <v>43841</v>
      </c>
      <c r="O62" s="122">
        <v>38</v>
      </c>
      <c r="P62" s="122" t="str">
        <f t="shared" ca="1" si="34"/>
        <v>Ejby</v>
      </c>
      <c r="Q62" s="122" t="str">
        <f t="shared" ca="1" si="35"/>
        <v>Glamsbjerg</v>
      </c>
      <c r="R62" s="134"/>
      <c r="S62" s="123" t="str">
        <f>IFERROR(S61+mMin,"-")</f>
        <v>-</v>
      </c>
      <c r="T62" s="146"/>
      <c r="U62" s="147"/>
      <c r="V62" s="148"/>
      <c r="W62" s="121" t="str">
        <f t="shared" si="27"/>
        <v>-</v>
      </c>
      <c r="X62" s="121" t="str">
        <f t="shared" si="28"/>
        <v>-</v>
      </c>
    </row>
    <row r="63" spans="3:24" ht="17.399999999999999" x14ac:dyDescent="0.35">
      <c r="C63" s="56" t="s">
        <v>143</v>
      </c>
      <c r="D63" s="57">
        <f t="shared" si="36"/>
        <v>0</v>
      </c>
      <c r="E63" s="56">
        <v>39</v>
      </c>
      <c r="F63" s="58">
        <f t="shared" si="22"/>
        <v>9</v>
      </c>
      <c r="G63" s="58">
        <f t="shared" si="23"/>
        <v>5</v>
      </c>
      <c r="H63" s="59" t="str">
        <f t="shared" si="32"/>
        <v>T_04</v>
      </c>
      <c r="I63" s="59" t="str">
        <f t="shared" si="33"/>
        <v>T_08</v>
      </c>
      <c r="J63" s="59">
        <v>9</v>
      </c>
      <c r="K63" s="60">
        <f t="shared" si="37"/>
        <v>43841</v>
      </c>
      <c r="O63" s="122">
        <v>39</v>
      </c>
      <c r="P63" s="122" t="str">
        <f t="shared" ca="1" si="34"/>
        <v>Dragør</v>
      </c>
      <c r="Q63" s="122" t="str">
        <f t="shared" ca="1" si="35"/>
        <v>Holeby</v>
      </c>
      <c r="R63" s="134"/>
      <c r="S63" s="123" t="str">
        <f>IFERROR(S62+mMin,"-")</f>
        <v>-</v>
      </c>
      <c r="T63" s="146"/>
      <c r="U63" s="147"/>
      <c r="V63" s="148"/>
      <c r="W63" s="121" t="str">
        <f t="shared" si="27"/>
        <v>-</v>
      </c>
      <c r="X63" s="121" t="str">
        <f t="shared" si="28"/>
        <v>-</v>
      </c>
    </row>
    <row r="64" spans="3:24" ht="18" thickBot="1" x14ac:dyDescent="0.4">
      <c r="C64" s="56" t="s">
        <v>140</v>
      </c>
      <c r="D64" s="57">
        <f t="shared" si="36"/>
        <v>0</v>
      </c>
      <c r="E64" s="56">
        <v>40</v>
      </c>
      <c r="F64" s="58">
        <f t="shared" si="22"/>
        <v>3</v>
      </c>
      <c r="G64" s="58">
        <f t="shared" si="23"/>
        <v>4</v>
      </c>
      <c r="H64" s="59" t="str">
        <f t="shared" si="32"/>
        <v>T_03</v>
      </c>
      <c r="I64" s="59" t="str">
        <f t="shared" si="33"/>
        <v>T_02</v>
      </c>
      <c r="J64" s="59">
        <v>9</v>
      </c>
      <c r="K64" s="60">
        <f t="shared" si="37"/>
        <v>43841</v>
      </c>
      <c r="O64" s="124">
        <v>40</v>
      </c>
      <c r="P64" s="124" t="str">
        <f t="shared" ca="1" si="34"/>
        <v>Christiansfelt</v>
      </c>
      <c r="Q64" s="124" t="str">
        <f t="shared" ca="1" si="35"/>
        <v>Bogense</v>
      </c>
      <c r="R64" s="135"/>
      <c r="S64" s="125" t="str">
        <f>IFERROR(S63+mMin,"-")</f>
        <v>-</v>
      </c>
      <c r="T64" s="149"/>
      <c r="U64" s="150"/>
      <c r="V64" s="151"/>
      <c r="W64" s="126" t="str">
        <f t="shared" si="27"/>
        <v>-</v>
      </c>
      <c r="X64" s="126" t="str">
        <f t="shared" si="28"/>
        <v>-</v>
      </c>
    </row>
    <row r="65" spans="3:24" ht="17.399999999999999" x14ac:dyDescent="0.35">
      <c r="C65" s="56" t="s">
        <v>146</v>
      </c>
      <c r="D65" s="57">
        <f t="shared" si="36"/>
        <v>0</v>
      </c>
      <c r="E65" s="56">
        <v>41</v>
      </c>
      <c r="F65" s="58">
        <f t="shared" si="22"/>
        <v>6</v>
      </c>
      <c r="G65" s="58">
        <f t="shared" si="23"/>
        <v>2</v>
      </c>
      <c r="H65" s="59" t="str">
        <f t="shared" si="32"/>
        <v>T_01</v>
      </c>
      <c r="I65" s="59" t="str">
        <f t="shared" si="33"/>
        <v>T_05</v>
      </c>
      <c r="J65" s="59">
        <v>10</v>
      </c>
      <c r="K65" s="60">
        <f t="shared" si="37"/>
        <v>43842</v>
      </c>
      <c r="O65" s="122">
        <v>41</v>
      </c>
      <c r="P65" s="122" t="str">
        <f t="shared" ca="1" si="34"/>
        <v>Assens</v>
      </c>
      <c r="Q65" s="122" t="str">
        <f t="shared" ca="1" si="35"/>
        <v>Ejby</v>
      </c>
      <c r="R65" s="134"/>
      <c r="S65" s="123" t="s">
        <v>33</v>
      </c>
      <c r="T65" s="146"/>
      <c r="U65" s="147"/>
      <c r="V65" s="148"/>
      <c r="W65" s="121" t="str">
        <f t="shared" si="27"/>
        <v>-</v>
      </c>
      <c r="X65" s="121" t="str">
        <f t="shared" si="28"/>
        <v>-</v>
      </c>
    </row>
    <row r="66" spans="3:24" ht="17.399999999999999" x14ac:dyDescent="0.35">
      <c r="C66" s="56" t="s">
        <v>147</v>
      </c>
      <c r="D66" s="57">
        <f t="shared" si="36"/>
        <v>0</v>
      </c>
      <c r="E66" s="56">
        <v>42</v>
      </c>
      <c r="F66" s="58">
        <f t="shared" si="22"/>
        <v>7</v>
      </c>
      <c r="G66" s="58">
        <f t="shared" si="23"/>
        <v>5</v>
      </c>
      <c r="H66" s="59" t="str">
        <f t="shared" si="32"/>
        <v>T_04</v>
      </c>
      <c r="I66" s="59" t="str">
        <f t="shared" si="33"/>
        <v>T_06</v>
      </c>
      <c r="J66" s="59">
        <v>10</v>
      </c>
      <c r="K66" s="60">
        <f t="shared" si="37"/>
        <v>43842</v>
      </c>
      <c r="O66" s="122">
        <v>42</v>
      </c>
      <c r="P66" s="122" t="str">
        <f t="shared" ca="1" si="34"/>
        <v>Dragør</v>
      </c>
      <c r="Q66" s="122" t="str">
        <f t="shared" ca="1" si="35"/>
        <v>Fjerritslev</v>
      </c>
      <c r="R66" s="134"/>
      <c r="S66" s="123" t="str">
        <f>IFERROR(S65+mMin,"-")</f>
        <v>-</v>
      </c>
      <c r="T66" s="146"/>
      <c r="U66" s="147"/>
      <c r="V66" s="148"/>
      <c r="W66" s="121" t="str">
        <f t="shared" ref="W66:W80" si="38">IF(ISNUMBER(U66)*ISNUMBER(V66),IF(U66&gt;V66,ptv, IF(U66=V66,ptu,ptt)),"-")</f>
        <v>-</v>
      </c>
      <c r="X66" s="121" t="str">
        <f t="shared" ref="X66:X80" si="39">IF(ISNUMBER(U66)*ISNUMBER(V66),IF(W66=ptv,ptt,IF(W66=ptu,ptu,ptv)),"-")</f>
        <v>-</v>
      </c>
    </row>
    <row r="67" spans="3:24" ht="17.399999999999999" x14ac:dyDescent="0.35">
      <c r="C67" s="56" t="s">
        <v>148</v>
      </c>
      <c r="D67" s="57">
        <f t="shared" si="36"/>
        <v>0</v>
      </c>
      <c r="E67" s="56">
        <v>43</v>
      </c>
      <c r="F67" s="58">
        <f t="shared" si="22"/>
        <v>8</v>
      </c>
      <c r="G67" s="58">
        <f t="shared" si="23"/>
        <v>4</v>
      </c>
      <c r="H67" s="59" t="str">
        <f t="shared" si="32"/>
        <v>T_03</v>
      </c>
      <c r="I67" s="59" t="str">
        <f t="shared" si="33"/>
        <v>T_07</v>
      </c>
      <c r="J67" s="59">
        <v>10</v>
      </c>
      <c r="K67" s="60">
        <f t="shared" si="37"/>
        <v>43842</v>
      </c>
      <c r="O67" s="122">
        <v>43</v>
      </c>
      <c r="P67" s="122" t="str">
        <f t="shared" ca="1" si="34"/>
        <v>Christiansfelt</v>
      </c>
      <c r="Q67" s="122" t="str">
        <f t="shared" ca="1" si="35"/>
        <v>Glamsbjerg</v>
      </c>
      <c r="R67" s="134"/>
      <c r="S67" s="123" t="str">
        <f>IFERROR(S66+mMin,"-")</f>
        <v>-</v>
      </c>
      <c r="T67" s="146"/>
      <c r="U67" s="147"/>
      <c r="V67" s="148"/>
      <c r="W67" s="121" t="str">
        <f t="shared" si="38"/>
        <v>-</v>
      </c>
      <c r="X67" s="121" t="str">
        <f t="shared" si="39"/>
        <v>-</v>
      </c>
    </row>
    <row r="68" spans="3:24" ht="18" thickBot="1" x14ac:dyDescent="0.4">
      <c r="C68" s="56" t="s">
        <v>149</v>
      </c>
      <c r="D68" s="57">
        <f t="shared" si="36"/>
        <v>0</v>
      </c>
      <c r="E68" s="56">
        <v>44</v>
      </c>
      <c r="F68" s="58">
        <f t="shared" si="22"/>
        <v>9</v>
      </c>
      <c r="G68" s="58">
        <f t="shared" si="23"/>
        <v>3</v>
      </c>
      <c r="H68" s="59" t="str">
        <f t="shared" si="32"/>
        <v>T_02</v>
      </c>
      <c r="I68" s="59" t="str">
        <f t="shared" si="33"/>
        <v>T_08</v>
      </c>
      <c r="J68" s="59">
        <v>10</v>
      </c>
      <c r="K68" s="60">
        <f t="shared" si="37"/>
        <v>43842</v>
      </c>
      <c r="O68" s="124">
        <v>44</v>
      </c>
      <c r="P68" s="124" t="str">
        <f t="shared" ca="1" si="34"/>
        <v>Bogense</v>
      </c>
      <c r="Q68" s="124" t="str">
        <f t="shared" ca="1" si="35"/>
        <v>Holeby</v>
      </c>
      <c r="R68" s="135"/>
      <c r="S68" s="125" t="str">
        <f>IFERROR(S67+mMin,"-")</f>
        <v>-</v>
      </c>
      <c r="T68" s="149"/>
      <c r="U68" s="150"/>
      <c r="V68" s="151"/>
      <c r="W68" s="126" t="str">
        <f t="shared" si="38"/>
        <v>-</v>
      </c>
      <c r="X68" s="126" t="str">
        <f t="shared" si="39"/>
        <v>-</v>
      </c>
    </row>
    <row r="69" spans="3:24" ht="17.399999999999999" x14ac:dyDescent="0.35">
      <c r="C69" s="56" t="s">
        <v>151</v>
      </c>
      <c r="D69" s="57">
        <f t="shared" si="36"/>
        <v>0</v>
      </c>
      <c r="E69" s="56">
        <v>45</v>
      </c>
      <c r="F69" s="58">
        <f t="shared" si="22"/>
        <v>2</v>
      </c>
      <c r="G69" s="58">
        <f t="shared" si="23"/>
        <v>5</v>
      </c>
      <c r="H69" s="59" t="str">
        <f t="shared" si="32"/>
        <v>T_04</v>
      </c>
      <c r="I69" s="59" t="str">
        <f t="shared" si="33"/>
        <v>T_01</v>
      </c>
      <c r="J69" s="59">
        <v>11</v>
      </c>
      <c r="K69" s="60">
        <f t="shared" si="37"/>
        <v>43843</v>
      </c>
      <c r="O69" s="122">
        <v>45</v>
      </c>
      <c r="P69" s="122" t="str">
        <f t="shared" ca="1" si="34"/>
        <v>Dragør</v>
      </c>
      <c r="Q69" s="122" t="str">
        <f t="shared" ca="1" si="35"/>
        <v>Assens</v>
      </c>
      <c r="R69" s="134"/>
      <c r="S69" s="123" t="s">
        <v>33</v>
      </c>
      <c r="T69" s="146"/>
      <c r="U69" s="147"/>
      <c r="V69" s="148"/>
      <c r="W69" s="121" t="str">
        <f t="shared" si="38"/>
        <v>-</v>
      </c>
      <c r="X69" s="121" t="str">
        <f t="shared" si="39"/>
        <v>-</v>
      </c>
    </row>
    <row r="70" spans="3:24" ht="17.399999999999999" x14ac:dyDescent="0.35">
      <c r="C70" s="56" t="s">
        <v>152</v>
      </c>
      <c r="D70" s="57">
        <f t="shared" si="36"/>
        <v>0</v>
      </c>
      <c r="E70" s="56">
        <v>46</v>
      </c>
      <c r="F70" s="58">
        <f t="shared" si="22"/>
        <v>6</v>
      </c>
      <c r="G70" s="58">
        <f t="shared" si="23"/>
        <v>4</v>
      </c>
      <c r="H70" s="59" t="str">
        <f t="shared" si="32"/>
        <v>T_03</v>
      </c>
      <c r="I70" s="59" t="str">
        <f t="shared" si="33"/>
        <v>T_05</v>
      </c>
      <c r="J70" s="59">
        <v>11</v>
      </c>
      <c r="K70" s="60">
        <f t="shared" si="37"/>
        <v>43843</v>
      </c>
      <c r="O70" s="122">
        <v>46</v>
      </c>
      <c r="P70" s="122" t="str">
        <f t="shared" ca="1" si="34"/>
        <v>Christiansfelt</v>
      </c>
      <c r="Q70" s="122" t="str">
        <f t="shared" ca="1" si="35"/>
        <v>Ejby</v>
      </c>
      <c r="R70" s="134"/>
      <c r="S70" s="123" t="str">
        <f>IFERROR(S69+mMin,"-")</f>
        <v>-</v>
      </c>
      <c r="T70" s="146"/>
      <c r="U70" s="147"/>
      <c r="V70" s="148"/>
      <c r="W70" s="121" t="str">
        <f t="shared" si="38"/>
        <v>-</v>
      </c>
      <c r="X70" s="121" t="str">
        <f t="shared" si="39"/>
        <v>-</v>
      </c>
    </row>
    <row r="71" spans="3:24" ht="17.399999999999999" x14ac:dyDescent="0.35">
      <c r="C71" s="56" t="s">
        <v>153</v>
      </c>
      <c r="D71" s="57">
        <f t="shared" si="36"/>
        <v>0</v>
      </c>
      <c r="E71" s="56">
        <v>47</v>
      </c>
      <c r="F71" s="58">
        <f t="shared" si="22"/>
        <v>7</v>
      </c>
      <c r="G71" s="58">
        <f t="shared" si="23"/>
        <v>3</v>
      </c>
      <c r="H71" s="59" t="str">
        <f t="shared" si="32"/>
        <v>T_02</v>
      </c>
      <c r="I71" s="59" t="str">
        <f t="shared" si="33"/>
        <v>T_06</v>
      </c>
      <c r="J71" s="59">
        <v>11</v>
      </c>
      <c r="K71" s="60">
        <f t="shared" si="37"/>
        <v>43843</v>
      </c>
      <c r="O71" s="122">
        <v>47</v>
      </c>
      <c r="P71" s="122" t="str">
        <f t="shared" ca="1" si="34"/>
        <v>Bogense</v>
      </c>
      <c r="Q71" s="122" t="str">
        <f t="shared" ca="1" si="35"/>
        <v>Fjerritslev</v>
      </c>
      <c r="R71" s="134"/>
      <c r="S71" s="123" t="str">
        <f>IFERROR(S70+mMin,"-")</f>
        <v>-</v>
      </c>
      <c r="T71" s="146"/>
      <c r="U71" s="147"/>
      <c r="V71" s="148"/>
      <c r="W71" s="121" t="str">
        <f t="shared" si="38"/>
        <v>-</v>
      </c>
      <c r="X71" s="121" t="str">
        <f t="shared" si="39"/>
        <v>-</v>
      </c>
    </row>
    <row r="72" spans="3:24" ht="18" thickBot="1" x14ac:dyDescent="0.4">
      <c r="C72" s="56" t="s">
        <v>160</v>
      </c>
      <c r="D72" s="57">
        <f t="shared" si="36"/>
        <v>0</v>
      </c>
      <c r="E72" s="56">
        <v>48</v>
      </c>
      <c r="F72" s="58">
        <f t="shared" si="22"/>
        <v>8</v>
      </c>
      <c r="G72" s="58">
        <f t="shared" si="23"/>
        <v>9</v>
      </c>
      <c r="H72" s="59" t="str">
        <f t="shared" si="32"/>
        <v>T_08</v>
      </c>
      <c r="I72" s="59" t="str">
        <f t="shared" si="33"/>
        <v>T_07</v>
      </c>
      <c r="J72" s="59">
        <v>11</v>
      </c>
      <c r="K72" s="60">
        <f t="shared" si="37"/>
        <v>43843</v>
      </c>
      <c r="O72" s="124">
        <v>48</v>
      </c>
      <c r="P72" s="124" t="str">
        <f t="shared" ca="1" si="34"/>
        <v>Holeby</v>
      </c>
      <c r="Q72" s="124" t="str">
        <f t="shared" ca="1" si="35"/>
        <v>Glamsbjerg</v>
      </c>
      <c r="R72" s="135"/>
      <c r="S72" s="125" t="str">
        <f>IFERROR(S71+mMin,"-")</f>
        <v>-</v>
      </c>
      <c r="T72" s="149"/>
      <c r="U72" s="150"/>
      <c r="V72" s="151"/>
      <c r="W72" s="126" t="str">
        <f t="shared" si="38"/>
        <v>-</v>
      </c>
      <c r="X72" s="126" t="str">
        <f t="shared" si="39"/>
        <v>-</v>
      </c>
    </row>
    <row r="73" spans="3:24" ht="17.399999999999999" x14ac:dyDescent="0.35">
      <c r="C73" s="56" t="s">
        <v>156</v>
      </c>
      <c r="D73" s="57">
        <f t="shared" si="36"/>
        <v>0</v>
      </c>
      <c r="E73" s="56">
        <v>49</v>
      </c>
      <c r="F73" s="58">
        <f t="shared" si="22"/>
        <v>4</v>
      </c>
      <c r="G73" s="58">
        <f t="shared" si="23"/>
        <v>2</v>
      </c>
      <c r="H73" s="59" t="str">
        <f t="shared" si="32"/>
        <v>T_01</v>
      </c>
      <c r="I73" s="59" t="str">
        <f t="shared" si="33"/>
        <v>T_03</v>
      </c>
      <c r="J73" s="59">
        <v>12</v>
      </c>
      <c r="K73" s="60">
        <f t="shared" si="37"/>
        <v>43844</v>
      </c>
      <c r="O73" s="122">
        <v>49</v>
      </c>
      <c r="P73" s="122" t="str">
        <f t="shared" ca="1" si="34"/>
        <v>Assens</v>
      </c>
      <c r="Q73" s="122" t="str">
        <f t="shared" ca="1" si="35"/>
        <v>Christiansfelt</v>
      </c>
      <c r="R73" s="134"/>
      <c r="S73" s="123" t="s">
        <v>33</v>
      </c>
      <c r="T73" s="146"/>
      <c r="U73" s="147"/>
      <c r="V73" s="148"/>
      <c r="W73" s="121" t="str">
        <f t="shared" si="38"/>
        <v>-</v>
      </c>
      <c r="X73" s="121" t="str">
        <f t="shared" si="39"/>
        <v>-</v>
      </c>
    </row>
    <row r="74" spans="3:24" ht="17.399999999999999" x14ac:dyDescent="0.35">
      <c r="C74" s="56" t="s">
        <v>157</v>
      </c>
      <c r="D74" s="57">
        <f t="shared" si="36"/>
        <v>0</v>
      </c>
      <c r="E74" s="56">
        <v>50</v>
      </c>
      <c r="F74" s="58">
        <f t="shared" si="22"/>
        <v>5</v>
      </c>
      <c r="G74" s="58">
        <f t="shared" si="23"/>
        <v>3</v>
      </c>
      <c r="H74" s="59" t="str">
        <f t="shared" si="32"/>
        <v>T_02</v>
      </c>
      <c r="I74" s="59" t="str">
        <f t="shared" si="33"/>
        <v>T_04</v>
      </c>
      <c r="J74" s="59">
        <v>12</v>
      </c>
      <c r="K74" s="60">
        <f t="shared" si="37"/>
        <v>43844</v>
      </c>
      <c r="O74" s="122">
        <v>50</v>
      </c>
      <c r="P74" s="122" t="str">
        <f t="shared" ca="1" si="34"/>
        <v>Bogense</v>
      </c>
      <c r="Q74" s="122" t="str">
        <f t="shared" ca="1" si="35"/>
        <v>Dragør</v>
      </c>
      <c r="R74" s="134"/>
      <c r="S74" s="123" t="str">
        <f>IFERROR(S73+mMin,"-")</f>
        <v>-</v>
      </c>
      <c r="T74" s="146"/>
      <c r="U74" s="147"/>
      <c r="V74" s="148"/>
      <c r="W74" s="121" t="str">
        <f t="shared" si="38"/>
        <v>-</v>
      </c>
      <c r="X74" s="121" t="str">
        <f t="shared" si="39"/>
        <v>-</v>
      </c>
    </row>
    <row r="75" spans="3:24" ht="17.399999999999999" x14ac:dyDescent="0.35">
      <c r="C75" s="56" t="s">
        <v>164</v>
      </c>
      <c r="D75" s="57">
        <f t="shared" si="36"/>
        <v>0</v>
      </c>
      <c r="E75" s="56">
        <v>51</v>
      </c>
      <c r="F75" s="58">
        <f t="shared" si="22"/>
        <v>6</v>
      </c>
      <c r="G75" s="58">
        <f t="shared" si="23"/>
        <v>9</v>
      </c>
      <c r="H75" s="59" t="str">
        <f t="shared" si="32"/>
        <v>T_08</v>
      </c>
      <c r="I75" s="59" t="str">
        <f t="shared" si="33"/>
        <v>T_05</v>
      </c>
      <c r="J75" s="59">
        <v>12</v>
      </c>
      <c r="K75" s="60">
        <f t="shared" si="37"/>
        <v>43844</v>
      </c>
      <c r="O75" s="122">
        <v>51</v>
      </c>
      <c r="P75" s="122" t="str">
        <f t="shared" ca="1" si="34"/>
        <v>Holeby</v>
      </c>
      <c r="Q75" s="122" t="str">
        <f t="shared" ca="1" si="35"/>
        <v>Ejby</v>
      </c>
      <c r="R75" s="134"/>
      <c r="S75" s="123" t="str">
        <f>IFERROR(S74+mMin,"-")</f>
        <v>-</v>
      </c>
      <c r="T75" s="146"/>
      <c r="U75" s="147"/>
      <c r="V75" s="148"/>
      <c r="W75" s="121" t="str">
        <f t="shared" si="38"/>
        <v>-</v>
      </c>
      <c r="X75" s="121" t="str">
        <f t="shared" si="39"/>
        <v>-</v>
      </c>
    </row>
    <row r="76" spans="3:24" ht="18" thickBot="1" x14ac:dyDescent="0.4">
      <c r="C76" s="56" t="s">
        <v>165</v>
      </c>
      <c r="D76" s="57">
        <f t="shared" si="36"/>
        <v>0</v>
      </c>
      <c r="E76" s="56">
        <v>52</v>
      </c>
      <c r="F76" s="58">
        <f t="shared" si="22"/>
        <v>7</v>
      </c>
      <c r="G76" s="58">
        <f t="shared" si="23"/>
        <v>8</v>
      </c>
      <c r="H76" s="59" t="str">
        <f t="shared" si="32"/>
        <v>T_07</v>
      </c>
      <c r="I76" s="59" t="str">
        <f t="shared" si="33"/>
        <v>T_06</v>
      </c>
      <c r="J76" s="59">
        <v>12</v>
      </c>
      <c r="K76" s="60">
        <f t="shared" si="37"/>
        <v>43844</v>
      </c>
      <c r="O76" s="124">
        <v>52</v>
      </c>
      <c r="P76" s="124" t="str">
        <f t="shared" ca="1" si="34"/>
        <v>Glamsbjerg</v>
      </c>
      <c r="Q76" s="124" t="str">
        <f t="shared" ca="1" si="35"/>
        <v>Fjerritslev</v>
      </c>
      <c r="R76" s="135"/>
      <c r="S76" s="125" t="str">
        <f>IFERROR(S75+mMin,"-")</f>
        <v>-</v>
      </c>
      <c r="T76" s="149"/>
      <c r="U76" s="150"/>
      <c r="V76" s="151"/>
      <c r="W76" s="126" t="str">
        <f t="shared" si="38"/>
        <v>-</v>
      </c>
      <c r="X76" s="126" t="str">
        <f t="shared" si="39"/>
        <v>-</v>
      </c>
    </row>
    <row r="77" spans="3:24" ht="17.399999999999999" x14ac:dyDescent="0.35">
      <c r="C77" s="56" t="s">
        <v>161</v>
      </c>
      <c r="D77" s="57">
        <f t="shared" si="36"/>
        <v>0</v>
      </c>
      <c r="E77" s="56">
        <v>53</v>
      </c>
      <c r="F77" s="58">
        <f t="shared" si="22"/>
        <v>2</v>
      </c>
      <c r="G77" s="58">
        <f t="shared" si="23"/>
        <v>3</v>
      </c>
      <c r="H77" s="59" t="str">
        <f t="shared" si="32"/>
        <v>T_02</v>
      </c>
      <c r="I77" s="59" t="str">
        <f t="shared" si="33"/>
        <v>T_01</v>
      </c>
      <c r="J77" s="59">
        <v>13</v>
      </c>
      <c r="K77" s="60">
        <f t="shared" si="37"/>
        <v>43845</v>
      </c>
      <c r="O77" s="122">
        <v>53</v>
      </c>
      <c r="P77" s="122" t="str">
        <f t="shared" ca="1" si="34"/>
        <v>Bogense</v>
      </c>
      <c r="Q77" s="122" t="str">
        <f t="shared" ca="1" si="35"/>
        <v>Assens</v>
      </c>
      <c r="R77" s="134"/>
      <c r="S77" s="123" t="s">
        <v>33</v>
      </c>
      <c r="T77" s="146"/>
      <c r="U77" s="147"/>
      <c r="V77" s="148"/>
      <c r="W77" s="121" t="str">
        <f t="shared" si="38"/>
        <v>-</v>
      </c>
      <c r="X77" s="121" t="str">
        <f t="shared" si="39"/>
        <v>-</v>
      </c>
    </row>
    <row r="78" spans="3:24" ht="17.399999999999999" x14ac:dyDescent="0.35">
      <c r="C78" s="56" t="s">
        <v>123</v>
      </c>
      <c r="D78" s="57">
        <f t="shared" si="36"/>
        <v>0</v>
      </c>
      <c r="E78" s="56">
        <v>54</v>
      </c>
      <c r="F78" s="58">
        <f t="shared" si="22"/>
        <v>4</v>
      </c>
      <c r="G78" s="58">
        <f t="shared" si="23"/>
        <v>9</v>
      </c>
      <c r="H78" s="59" t="str">
        <f t="shared" si="32"/>
        <v>T_08</v>
      </c>
      <c r="I78" s="59" t="str">
        <f t="shared" si="33"/>
        <v>T_03</v>
      </c>
      <c r="J78" s="59">
        <v>13</v>
      </c>
      <c r="K78" s="60">
        <f t="shared" si="37"/>
        <v>43845</v>
      </c>
      <c r="O78" s="122">
        <v>54</v>
      </c>
      <c r="P78" s="122" t="str">
        <f t="shared" ca="1" si="34"/>
        <v>Holeby</v>
      </c>
      <c r="Q78" s="122" t="str">
        <f t="shared" ca="1" si="35"/>
        <v>Christiansfelt</v>
      </c>
      <c r="R78" s="134"/>
      <c r="S78" s="123" t="str">
        <f>IFERROR(S77+mMin,"-")</f>
        <v>-</v>
      </c>
      <c r="T78" s="146"/>
      <c r="U78" s="147"/>
      <c r="V78" s="148"/>
      <c r="W78" s="121" t="str">
        <f t="shared" si="38"/>
        <v>-</v>
      </c>
      <c r="X78" s="121" t="str">
        <f t="shared" si="39"/>
        <v>-</v>
      </c>
    </row>
    <row r="79" spans="3:24" ht="17.399999999999999" x14ac:dyDescent="0.35">
      <c r="C79" s="56" t="s">
        <v>124</v>
      </c>
      <c r="D79" s="57">
        <f t="shared" si="36"/>
        <v>0</v>
      </c>
      <c r="E79" s="56">
        <v>55</v>
      </c>
      <c r="F79" s="58">
        <f t="shared" si="22"/>
        <v>5</v>
      </c>
      <c r="G79" s="58">
        <f t="shared" si="23"/>
        <v>8</v>
      </c>
      <c r="H79" s="59" t="str">
        <f t="shared" si="32"/>
        <v>T_07</v>
      </c>
      <c r="I79" s="59" t="str">
        <f t="shared" si="33"/>
        <v>T_04</v>
      </c>
      <c r="J79" s="59">
        <v>13</v>
      </c>
      <c r="K79" s="60">
        <f t="shared" si="37"/>
        <v>43845</v>
      </c>
      <c r="O79" s="122">
        <v>55</v>
      </c>
      <c r="P79" s="122" t="str">
        <f t="shared" ca="1" si="34"/>
        <v>Glamsbjerg</v>
      </c>
      <c r="Q79" s="122" t="str">
        <f t="shared" ca="1" si="35"/>
        <v>Dragør</v>
      </c>
      <c r="R79" s="134"/>
      <c r="S79" s="123" t="str">
        <f>IFERROR(S78+mMin,"-")</f>
        <v>-</v>
      </c>
      <c r="T79" s="146"/>
      <c r="U79" s="147"/>
      <c r="V79" s="148"/>
      <c r="W79" s="121" t="str">
        <f t="shared" si="38"/>
        <v>-</v>
      </c>
      <c r="X79" s="121" t="str">
        <f t="shared" si="39"/>
        <v>-</v>
      </c>
    </row>
    <row r="80" spans="3:24" ht="18" thickBot="1" x14ac:dyDescent="0.4">
      <c r="C80" s="56" t="s">
        <v>125</v>
      </c>
      <c r="D80" s="57">
        <f t="shared" si="36"/>
        <v>0</v>
      </c>
      <c r="E80" s="56">
        <v>56</v>
      </c>
      <c r="F80" s="58">
        <f t="shared" si="22"/>
        <v>6</v>
      </c>
      <c r="G80" s="58">
        <f t="shared" si="23"/>
        <v>7</v>
      </c>
      <c r="H80" s="59" t="str">
        <f t="shared" si="32"/>
        <v>T_06</v>
      </c>
      <c r="I80" s="59" t="str">
        <f t="shared" si="33"/>
        <v>T_05</v>
      </c>
      <c r="J80" s="59">
        <v>13</v>
      </c>
      <c r="K80" s="60">
        <f t="shared" si="37"/>
        <v>43845</v>
      </c>
      <c r="O80" s="124">
        <v>56</v>
      </c>
      <c r="P80" s="124" t="str">
        <f t="shared" ca="1" si="34"/>
        <v>Fjerritslev</v>
      </c>
      <c r="Q80" s="124" t="str">
        <f t="shared" ca="1" si="35"/>
        <v>Ejby</v>
      </c>
      <c r="R80" s="136"/>
      <c r="S80" s="137" t="str">
        <f>IFERROR(S79+mMin,"-")</f>
        <v>-</v>
      </c>
      <c r="T80" s="155"/>
      <c r="U80" s="156"/>
      <c r="V80" s="157"/>
      <c r="W80" s="126" t="str">
        <f t="shared" si="38"/>
        <v>-</v>
      </c>
      <c r="X80" s="126" t="str">
        <f t="shared" si="39"/>
        <v>-</v>
      </c>
    </row>
    <row r="81" spans="8:24" ht="13.2" thickBot="1" x14ac:dyDescent="0.25">
      <c r="H81" s="19" t="s">
        <v>34</v>
      </c>
      <c r="I81" s="19" t="s">
        <v>35</v>
      </c>
      <c r="J81" s="38"/>
      <c r="K81" s="38"/>
      <c r="P81" s="92"/>
      <c r="Q81" s="92"/>
      <c r="R81" s="92"/>
      <c r="S81" s="93"/>
      <c r="T81" s="5"/>
      <c r="U81" s="5"/>
      <c r="V81" s="94"/>
    </row>
    <row r="82" spans="8:24" ht="18" thickBot="1" x14ac:dyDescent="0.4">
      <c r="H82" s="20" t="str">
        <f>IF(ISNUMBER(U82),IF(U82&gt;V82,P82,Q82),"")</f>
        <v/>
      </c>
      <c r="I82" s="20" t="str">
        <f>IF(ISNUMBER(U82),IF(H82=P82,Q82,P82),"")</f>
        <v/>
      </c>
      <c r="J82" s="38">
        <v>14</v>
      </c>
      <c r="K82" s="17">
        <f>$K$25+J82</f>
        <v>43846</v>
      </c>
      <c r="O82" s="89" t="s">
        <v>64</v>
      </c>
      <c r="P82" s="90" t="s">
        <v>13</v>
      </c>
      <c r="Q82" s="90" t="s">
        <v>11</v>
      </c>
      <c r="R82" s="174"/>
      <c r="S82" s="175"/>
      <c r="T82" s="176"/>
      <c r="U82" s="177"/>
      <c r="V82" s="178"/>
      <c r="W82" s="21" t="str">
        <f t="shared" ref="W82" si="40">IF(ISNUMBER(U82)*ISNUMBER(V82),IF(U82&gt;V82,ptv, IF(U82=V82,ptu,ptt)),"-")</f>
        <v>-</v>
      </c>
      <c r="X82" s="21" t="str">
        <f t="shared" ref="X82" si="41">IF(ISNUMBER(U82)*ISNUMBER(V82),IF(W82=ptv,ptt,IF(W82=ptu,ptu,ptv)),"-")</f>
        <v>-</v>
      </c>
    </row>
    <row r="83" spans="8:24" ht="13.2" thickBot="1" x14ac:dyDescent="0.25">
      <c r="H83" s="19" t="s">
        <v>36</v>
      </c>
      <c r="I83" s="19" t="s">
        <v>37</v>
      </c>
      <c r="J83" s="38"/>
      <c r="K83" s="38"/>
      <c r="P83" s="92"/>
      <c r="Q83" s="92"/>
      <c r="R83" s="92"/>
      <c r="S83" s="5"/>
      <c r="T83" s="5"/>
      <c r="U83" s="5"/>
      <c r="V83" s="94"/>
    </row>
    <row r="84" spans="8:24" ht="18" thickBot="1" x14ac:dyDescent="0.4">
      <c r="H84" s="20" t="str">
        <f>IF(ISNUMBER(U84),IF(U84&gt;V84,P84,Q84),"")</f>
        <v/>
      </c>
      <c r="I84" s="20" t="str">
        <f>IF(ISNUMBER(U84),IF(H84=P84,Q84,P84),"")</f>
        <v/>
      </c>
      <c r="J84" s="38">
        <v>15</v>
      </c>
      <c r="K84" s="17">
        <f>$K$25+J84</f>
        <v>43847</v>
      </c>
      <c r="O84" s="88" t="s">
        <v>175</v>
      </c>
      <c r="P84" s="90" t="s">
        <v>16</v>
      </c>
      <c r="Q84" s="90" t="s">
        <v>57</v>
      </c>
      <c r="R84" s="174"/>
      <c r="S84" s="175"/>
      <c r="T84" s="176"/>
      <c r="U84" s="177"/>
      <c r="V84" s="178"/>
      <c r="W84" s="21" t="str">
        <f t="shared" ref="W84" si="42">IF(ISNUMBER(U84)*ISNUMBER(V84),IF(U84&gt;V84,ptv, IF(U84=V84,ptu,ptt)),"-")</f>
        <v>-</v>
      </c>
      <c r="X84" s="21" t="str">
        <f t="shared" ref="X84" si="43">IF(ISNUMBER(U84)*ISNUMBER(V84),IF(W84=ptv,ptt,IF(W84=ptu,ptu,ptv)),"-")</f>
        <v>-</v>
      </c>
    </row>
  </sheetData>
  <sheetProtection sheet="1" objects="1" scenarios="1"/>
  <conditionalFormatting sqref="B15:I22">
    <cfRule type="duplicateValues" dxfId="32" priority="5"/>
    <cfRule type="expression" dxfId="31" priority="6">
      <formula>AND(MOD(B15,2)=0,ISNUMBER(B15))</formula>
    </cfRule>
  </conditionalFormatting>
  <conditionalFormatting sqref="D26:D27">
    <cfRule type="expression" dxfId="30" priority="4">
      <formula>D26=1</formula>
    </cfRule>
  </conditionalFormatting>
  <conditionalFormatting sqref="D28:D80">
    <cfRule type="expression" dxfId="29" priority="3">
      <formula>D28=1</formula>
    </cfRule>
  </conditionalFormatting>
  <conditionalFormatting sqref="M3:M10">
    <cfRule type="duplicateValues" dxfId="28" priority="2"/>
  </conditionalFormatting>
  <conditionalFormatting sqref="L3:L10">
    <cfRule type="duplicateValues" dxfId="27" priority="1"/>
  </conditionalFormatting>
  <dataValidations disablePrompts="1" count="1">
    <dataValidation type="list" allowBlank="1" showInputMessage="1" showErrorMessage="1" sqref="P82:Q82 P84:Q84" xr:uid="{00000000-0002-0000-0F00-000000000000}">
      <formula1>teams</formula1>
    </dataValidation>
  </dataValidations>
  <printOptions horizontalCentered="1"/>
  <pageMargins left="0.78740157480314965" right="0.59055118110236227" top="0.39370078740157483" bottom="0.39370078740157483" header="0.19685039370078741" footer="0.19685039370078741"/>
  <pageSetup paperSize="9" scale="71" fitToHeight="2" orientation="portrait" verticalDpi="300" r:id="rId1"/>
  <headerFooter>
    <oddFooter>&amp;L&amp;D&amp;R&amp;P/&amp;N</oddFooter>
  </headerFooter>
  <rowBreaks count="1" manualBreakCount="1">
    <brk id="52" min="14" max="2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grp09x1">
    <tabColor theme="8"/>
    <outlinePr showOutlineSymbols="0"/>
  </sheetPr>
  <dimension ref="A1:Y66"/>
  <sheetViews>
    <sheetView showGridLines="0" showRowColHeaders="0" showOutlineSymbols="0" zoomScaleNormal="100" zoomScaleSheetLayoutView="55" workbookViewId="0">
      <pane ySplit="26" topLeftCell="A27" activePane="bottomLeft" state="frozen"/>
      <selection activeCell="L43" sqref="L43"/>
      <selection pane="bottomLeft" activeCell="O27" sqref="O27"/>
    </sheetView>
  </sheetViews>
  <sheetFormatPr defaultColWidth="9" defaultRowHeight="12.6" outlineLevelRow="1" outlineLevelCol="1" x14ac:dyDescent="0.2"/>
  <cols>
    <col min="1" max="2" width="0" hidden="1" customWidth="1" outlineLevel="1"/>
    <col min="3" max="3" width="9" hidden="1" customWidth="1" outlineLevel="1"/>
    <col min="4" max="9" width="0" hidden="1" customWidth="1" outlineLevel="1"/>
    <col min="10" max="11" width="9" hidden="1" customWidth="1" outlineLevel="1"/>
    <col min="12" max="12" width="9.26953125" hidden="1" customWidth="1" outlineLevel="1"/>
    <col min="13" max="13" width="6.7265625" hidden="1" customWidth="1" outlineLevel="1"/>
    <col min="14" max="14" width="3.90625" style="13" hidden="1" customWidth="1" outlineLevel="1"/>
    <col min="15" max="15" width="3.90625" style="13" customWidth="1" collapsed="1"/>
    <col min="16" max="16" width="6" style="13" customWidth="1"/>
    <col min="17" max="18" width="20.453125" style="13" customWidth="1"/>
    <col min="19" max="19" width="9.6328125" style="13" customWidth="1"/>
    <col min="20" max="20" width="8.6328125" customWidth="1"/>
    <col min="21" max="21" width="8.453125" customWidth="1"/>
    <col min="22" max="25" width="6.26953125" customWidth="1"/>
  </cols>
  <sheetData>
    <row r="1" spans="1:25" hidden="1" outlineLevel="1" x14ac:dyDescent="0.2">
      <c r="A1" t="s">
        <v>201</v>
      </c>
      <c r="C1" t="s">
        <v>179</v>
      </c>
      <c r="G1" t="s">
        <v>186</v>
      </c>
      <c r="L1" t="s">
        <v>192</v>
      </c>
    </row>
    <row r="2" spans="1:25"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5" hidden="1" outlineLevel="1" x14ac:dyDescent="0.2">
      <c r="A3" s="103">
        <v>1</v>
      </c>
      <c r="B3" s="103" t="str">
        <f t="shared" ref="B3:B10" si="0">INDEX(xTeams,A3,1)</f>
        <v>Assens</v>
      </c>
      <c r="C3" s="96">
        <f t="shared" ref="C3:C11" ca="1" si="1">SUMIF(team1,teams,goals1)+SUMIF(team2,teams,goals2)</f>
        <v>0</v>
      </c>
      <c r="D3" s="96">
        <f t="shared" ref="D3:D11" ca="1" si="2">SUMIF(team1,teams,goals2)+SUMIF(team2,teams,goals1)</f>
        <v>0</v>
      </c>
      <c r="E3" s="104">
        <f ca="1">SUMIFS(
   points1,team1,teams
) +
  SUMIFS(points2,team2,teams)</f>
        <v>0</v>
      </c>
      <c r="F3" s="96">
        <f t="shared" ref="F3:F10" ca="1" si="3">C3-D3</f>
        <v>0</v>
      </c>
      <c r="G3" s="96">
        <f t="shared" ref="G3:G11" ca="1" si="4">COUNTIFS(team1,$B3,points1,"&gt;=0")+COUNTIFS(team2,$B3,points2,"&gt;=0")</f>
        <v>0</v>
      </c>
      <c r="H3" s="105">
        <f ca="1">IF(G3=0,1,0)</f>
        <v>1</v>
      </c>
      <c r="I3" s="105">
        <f ca="1">RANK($E3,$E$3:$E$11,0)</f>
        <v>1</v>
      </c>
      <c r="J3" s="98">
        <f ca="1">RANK($F3,$F$3:$F$11,0)/10</f>
        <v>0.1</v>
      </c>
      <c r="K3" s="99">
        <f ca="1">RANK($C3,$C$3:$C$11,0)/100</f>
        <v>0.01</v>
      </c>
      <c r="L3" s="99">
        <f ca="1">SUM(H3:K3)</f>
        <v>2.11</v>
      </c>
      <c r="M3" s="96">
        <f ca="1">RANK($L3,$L$3:$L$11,1) + COUNTIF($L$3:$L3,$L3)-1</f>
        <v>1</v>
      </c>
    </row>
    <row r="4" spans="1:25" hidden="1" outlineLevel="1" x14ac:dyDescent="0.2">
      <c r="A4" s="103">
        <v>2</v>
      </c>
      <c r="B4" s="103" t="str">
        <f t="shared" si="0"/>
        <v>Bogense</v>
      </c>
      <c r="C4" s="96">
        <f t="shared" ca="1" si="1"/>
        <v>0</v>
      </c>
      <c r="D4" s="96">
        <f t="shared" ca="1" si="2"/>
        <v>0</v>
      </c>
      <c r="E4" s="104">
        <f t="shared" ref="E4:E11" ca="1" si="5">SUMIFS(points1,team1,teams)+SUMIFS(points2,team2,teams)</f>
        <v>0</v>
      </c>
      <c r="F4" s="96">
        <f t="shared" ca="1" si="3"/>
        <v>0</v>
      </c>
      <c r="G4" s="96">
        <f t="shared" ca="1" si="4"/>
        <v>0</v>
      </c>
      <c r="H4" s="105">
        <f t="shared" ref="H4:H11" ca="1" si="6">IF(G4=0,1,0)</f>
        <v>1</v>
      </c>
      <c r="I4" s="105">
        <f t="shared" ref="I4:I11" ca="1" si="7">RANK($E4,$E$3:$E$11,0)</f>
        <v>1</v>
      </c>
      <c r="J4" s="98">
        <f t="shared" ref="J4:J11" ca="1" si="8">RANK($F4,$F$3:$F$11,0)/10</f>
        <v>0.1</v>
      </c>
      <c r="K4" s="99">
        <f t="shared" ref="K4:K11" ca="1" si="9">RANK($C4,$C$3:$C$11,0)/100</f>
        <v>0.01</v>
      </c>
      <c r="L4" s="99">
        <f t="shared" ref="L4:L11" ca="1" si="10">SUM(H4:K4)</f>
        <v>2.11</v>
      </c>
      <c r="M4" s="96">
        <f ca="1">RANK($L4,$L$3:$L$11,1) + COUNTIF($L$3:$L4,$L4)-1</f>
        <v>2</v>
      </c>
    </row>
    <row r="5" spans="1:25" hidden="1" outlineLevel="1" x14ac:dyDescent="0.2">
      <c r="A5" s="103">
        <v>3</v>
      </c>
      <c r="B5" s="103" t="str">
        <f t="shared" si="0"/>
        <v>Christiansfelt</v>
      </c>
      <c r="C5" s="96">
        <f t="shared" ca="1" si="1"/>
        <v>0</v>
      </c>
      <c r="D5" s="96">
        <f t="shared" ca="1" si="2"/>
        <v>0</v>
      </c>
      <c r="E5" s="104">
        <f t="shared" ca="1" si="5"/>
        <v>0</v>
      </c>
      <c r="F5" s="96">
        <f t="shared" ca="1" si="3"/>
        <v>0</v>
      </c>
      <c r="G5" s="96">
        <f t="shared" ca="1" si="4"/>
        <v>0</v>
      </c>
      <c r="H5" s="105">
        <f t="shared" ca="1" si="6"/>
        <v>1</v>
      </c>
      <c r="I5" s="105">
        <f t="shared" ca="1" si="7"/>
        <v>1</v>
      </c>
      <c r="J5" s="98">
        <f t="shared" ca="1" si="8"/>
        <v>0.1</v>
      </c>
      <c r="K5" s="99">
        <f t="shared" ca="1" si="9"/>
        <v>0.01</v>
      </c>
      <c r="L5" s="99">
        <f t="shared" ca="1" si="10"/>
        <v>2.11</v>
      </c>
      <c r="M5" s="96">
        <f ca="1">RANK($L5,$L$3:$L$11,1) + COUNTIF($L$3:$L5,$L5)-1</f>
        <v>3</v>
      </c>
    </row>
    <row r="6" spans="1:25" hidden="1" outlineLevel="1" x14ac:dyDescent="0.2">
      <c r="A6" s="103">
        <v>4</v>
      </c>
      <c r="B6" s="103" t="str">
        <f t="shared" si="0"/>
        <v>Dragør</v>
      </c>
      <c r="C6" s="96">
        <f t="shared" ca="1" si="1"/>
        <v>0</v>
      </c>
      <c r="D6" s="96">
        <f t="shared" ca="1" si="2"/>
        <v>0</v>
      </c>
      <c r="E6" s="104">
        <f t="shared" ca="1" si="5"/>
        <v>0</v>
      </c>
      <c r="F6" s="96">
        <f t="shared" ca="1" si="3"/>
        <v>0</v>
      </c>
      <c r="G6" s="96">
        <f t="shared" ca="1" si="4"/>
        <v>0</v>
      </c>
      <c r="H6" s="105">
        <f t="shared" ca="1" si="6"/>
        <v>1</v>
      </c>
      <c r="I6" s="105">
        <f t="shared" ca="1" si="7"/>
        <v>1</v>
      </c>
      <c r="J6" s="98">
        <f t="shared" ca="1" si="8"/>
        <v>0.1</v>
      </c>
      <c r="K6" s="99">
        <f t="shared" ca="1" si="9"/>
        <v>0.01</v>
      </c>
      <c r="L6" s="99">
        <f t="shared" ca="1" si="10"/>
        <v>2.11</v>
      </c>
      <c r="M6" s="96">
        <f ca="1">RANK($L6,$L$3:$L$11,1) + COUNTIF($L$3:$L6,$L6)-1</f>
        <v>4</v>
      </c>
    </row>
    <row r="7" spans="1:25" hidden="1" outlineLevel="1" x14ac:dyDescent="0.2">
      <c r="A7" s="103">
        <v>5</v>
      </c>
      <c r="B7" s="103" t="str">
        <f t="shared" si="0"/>
        <v>Ejby</v>
      </c>
      <c r="C7" s="96">
        <f t="shared" ca="1" si="1"/>
        <v>0</v>
      </c>
      <c r="D7" s="96">
        <f t="shared" ca="1" si="2"/>
        <v>0</v>
      </c>
      <c r="E7" s="104">
        <f t="shared" ca="1" si="5"/>
        <v>0</v>
      </c>
      <c r="F7" s="96">
        <f t="shared" ca="1" si="3"/>
        <v>0</v>
      </c>
      <c r="G7" s="96">
        <f t="shared" ca="1" si="4"/>
        <v>0</v>
      </c>
      <c r="H7" s="105">
        <f t="shared" ca="1" si="6"/>
        <v>1</v>
      </c>
      <c r="I7" s="105">
        <f t="shared" ca="1" si="7"/>
        <v>1</v>
      </c>
      <c r="J7" s="98">
        <f t="shared" ca="1" si="8"/>
        <v>0.1</v>
      </c>
      <c r="K7" s="99">
        <f t="shared" ca="1" si="9"/>
        <v>0.01</v>
      </c>
      <c r="L7" s="99">
        <f t="shared" ca="1" si="10"/>
        <v>2.11</v>
      </c>
      <c r="M7" s="96">
        <f ca="1">RANK($L7,$L$3:$L$11,1) + COUNTIF($L$3:$L7,$L7)-1</f>
        <v>5</v>
      </c>
    </row>
    <row r="8" spans="1:25" hidden="1" outlineLevel="1" x14ac:dyDescent="0.2">
      <c r="A8" s="103">
        <v>6</v>
      </c>
      <c r="B8" s="103" t="str">
        <f t="shared" si="0"/>
        <v>Fjerritslev</v>
      </c>
      <c r="C8" s="96">
        <f t="shared" ca="1" si="1"/>
        <v>0</v>
      </c>
      <c r="D8" s="96">
        <f t="shared" ca="1" si="2"/>
        <v>0</v>
      </c>
      <c r="E8" s="104">
        <f t="shared" ca="1" si="5"/>
        <v>0</v>
      </c>
      <c r="F8" s="96">
        <f t="shared" ca="1" si="3"/>
        <v>0</v>
      </c>
      <c r="G8" s="96">
        <f t="shared" ca="1" si="4"/>
        <v>0</v>
      </c>
      <c r="H8" s="105">
        <f t="shared" ca="1" si="6"/>
        <v>1</v>
      </c>
      <c r="I8" s="105">
        <f t="shared" ca="1" si="7"/>
        <v>1</v>
      </c>
      <c r="J8" s="98">
        <f t="shared" ca="1" si="8"/>
        <v>0.1</v>
      </c>
      <c r="K8" s="99">
        <f t="shared" ca="1" si="9"/>
        <v>0.01</v>
      </c>
      <c r="L8" s="99">
        <f t="shared" ca="1" si="10"/>
        <v>2.11</v>
      </c>
      <c r="M8" s="96">
        <f ca="1">RANK($L8,$L$3:$L$11,1) + COUNTIF($L$3:$L8,$L8)-1</f>
        <v>6</v>
      </c>
    </row>
    <row r="9" spans="1:25" hidden="1" outlineLevel="1" x14ac:dyDescent="0.2">
      <c r="A9" s="103">
        <v>7</v>
      </c>
      <c r="B9" s="103" t="str">
        <f t="shared" si="0"/>
        <v>Glamsbjerg</v>
      </c>
      <c r="C9" s="96">
        <f t="shared" ca="1" si="1"/>
        <v>0</v>
      </c>
      <c r="D9" s="96">
        <f t="shared" ca="1" si="2"/>
        <v>0</v>
      </c>
      <c r="E9" s="104">
        <f t="shared" ca="1" si="5"/>
        <v>0</v>
      </c>
      <c r="F9" s="96">
        <f t="shared" ca="1" si="3"/>
        <v>0</v>
      </c>
      <c r="G9" s="96">
        <f t="shared" ca="1" si="4"/>
        <v>0</v>
      </c>
      <c r="H9" s="105">
        <f t="shared" ca="1" si="6"/>
        <v>1</v>
      </c>
      <c r="I9" s="105">
        <f t="shared" ca="1" si="7"/>
        <v>1</v>
      </c>
      <c r="J9" s="98">
        <f t="shared" ca="1" si="8"/>
        <v>0.1</v>
      </c>
      <c r="K9" s="99">
        <f t="shared" ca="1" si="9"/>
        <v>0.01</v>
      </c>
      <c r="L9" s="99">
        <f t="shared" ca="1" si="10"/>
        <v>2.11</v>
      </c>
      <c r="M9" s="96">
        <f ca="1">RANK($L9,$L$3:$L$11,1) + COUNTIF($L$3:$L9,$L9)-1</f>
        <v>7</v>
      </c>
    </row>
    <row r="10" spans="1:25" hidden="1" outlineLevel="1" x14ac:dyDescent="0.2">
      <c r="A10" s="103">
        <v>8</v>
      </c>
      <c r="B10" s="103" t="str">
        <f t="shared" si="0"/>
        <v>Holeby</v>
      </c>
      <c r="C10" s="96">
        <f t="shared" ca="1" si="1"/>
        <v>0</v>
      </c>
      <c r="D10" s="96">
        <f t="shared" ca="1" si="2"/>
        <v>0</v>
      </c>
      <c r="E10" s="104">
        <f t="shared" ca="1" si="5"/>
        <v>0</v>
      </c>
      <c r="F10" s="96">
        <f t="shared" ca="1" si="3"/>
        <v>0</v>
      </c>
      <c r="G10" s="96">
        <f t="shared" ca="1" si="4"/>
        <v>0</v>
      </c>
      <c r="H10" s="105">
        <f t="shared" ca="1" si="6"/>
        <v>1</v>
      </c>
      <c r="I10" s="105">
        <f t="shared" ca="1" si="7"/>
        <v>1</v>
      </c>
      <c r="J10" s="98">
        <f t="shared" ca="1" si="8"/>
        <v>0.1</v>
      </c>
      <c r="K10" s="99">
        <f t="shared" ca="1" si="9"/>
        <v>0.01</v>
      </c>
      <c r="L10" s="99">
        <f t="shared" ca="1" si="10"/>
        <v>2.11</v>
      </c>
      <c r="M10" s="96">
        <f ca="1">RANK($L10,$L$3:$L$11,1) + COUNTIF($L$3:$L10,$L10)-1</f>
        <v>8</v>
      </c>
    </row>
    <row r="11" spans="1:25" hidden="1" outlineLevel="1" x14ac:dyDescent="0.2">
      <c r="A11" s="103">
        <v>9</v>
      </c>
      <c r="B11" s="103" t="str">
        <f t="shared" ref="B11" si="11">INDEX(xTeams,A11,1)</f>
        <v>Indre By</v>
      </c>
      <c r="C11" s="96">
        <f t="shared" ca="1" si="1"/>
        <v>0</v>
      </c>
      <c r="D11" s="96">
        <f t="shared" ca="1" si="2"/>
        <v>0</v>
      </c>
      <c r="E11" s="104">
        <f t="shared" ca="1" si="5"/>
        <v>0</v>
      </c>
      <c r="F11" s="96">
        <f t="shared" ref="F11" ca="1" si="12">C11-D11</f>
        <v>0</v>
      </c>
      <c r="G11" s="96">
        <f t="shared" ca="1" si="4"/>
        <v>0</v>
      </c>
      <c r="H11" s="105">
        <f t="shared" ca="1" si="6"/>
        <v>1</v>
      </c>
      <c r="I11" s="105">
        <f t="shared" ca="1" si="7"/>
        <v>1</v>
      </c>
      <c r="J11" s="98">
        <f t="shared" ca="1" si="8"/>
        <v>0.1</v>
      </c>
      <c r="K11" s="99">
        <f t="shared" ca="1" si="9"/>
        <v>0.01</v>
      </c>
      <c r="L11" s="99">
        <f t="shared" ca="1" si="10"/>
        <v>2.11</v>
      </c>
      <c r="M11" s="96">
        <f ca="1">RANK($L11,$L$3:$L$11,1) + COUNTIF($L$3:$L11,$L11)-1</f>
        <v>9</v>
      </c>
    </row>
    <row r="12" spans="1:25" ht="13.2" collapsed="1" thickBot="1" x14ac:dyDescent="0.25">
      <c r="N12" s="4"/>
      <c r="O12" s="4"/>
      <c r="P12" s="4"/>
      <c r="Q12"/>
      <c r="R12"/>
      <c r="S12"/>
    </row>
    <row r="13" spans="1:25" s="4" customFormat="1" ht="24" thickBot="1" x14ac:dyDescent="0.5">
      <c r="A13" s="42" t="s">
        <v>168</v>
      </c>
      <c r="B13" s="74">
        <v>9</v>
      </c>
      <c r="C13" s="72"/>
      <c r="D13" s="73" t="s">
        <v>65</v>
      </c>
      <c r="E13" s="74">
        <f>(B13/2)*(B13-1)</f>
        <v>36</v>
      </c>
      <c r="F13"/>
      <c r="G13"/>
      <c r="H13"/>
      <c r="I13"/>
      <c r="J13"/>
      <c r="K13"/>
      <c r="P13" s="75" t="str">
        <f>TurneringsNavn</f>
        <v>Forårsstævne</v>
      </c>
      <c r="Q13" s="5"/>
      <c r="R13" s="5"/>
      <c r="S13" s="5"/>
      <c r="T13" s="5"/>
      <c r="U13" s="5"/>
      <c r="V13" s="5"/>
      <c r="W13" s="5"/>
      <c r="X13" s="5"/>
      <c r="Y13" s="5"/>
    </row>
    <row r="14" spans="1:25" ht="6.75" customHeight="1" x14ac:dyDescent="0.2">
      <c r="N14"/>
      <c r="O14"/>
      <c r="P14"/>
      <c r="Q14"/>
      <c r="R14"/>
      <c r="S14"/>
    </row>
    <row r="15" spans="1:25" ht="13.8" x14ac:dyDescent="0.25">
      <c r="B15" s="35" t="s">
        <v>66</v>
      </c>
      <c r="C15" s="35" t="s">
        <v>67</v>
      </c>
      <c r="D15" s="35" t="s">
        <v>68</v>
      </c>
      <c r="E15" s="35" t="s">
        <v>69</v>
      </c>
      <c r="F15" s="35" t="s">
        <v>70</v>
      </c>
      <c r="G15" s="35" t="s">
        <v>71</v>
      </c>
      <c r="H15" s="35" t="s">
        <v>72</v>
      </c>
      <c r="I15" s="35" t="s">
        <v>73</v>
      </c>
      <c r="J15" s="35" t="s">
        <v>74</v>
      </c>
      <c r="K15" s="7" t="s">
        <v>2</v>
      </c>
      <c r="L15" s="6" t="s">
        <v>3</v>
      </c>
      <c r="M15" s="6" t="s">
        <v>4</v>
      </c>
      <c r="N15" s="6" t="s">
        <v>167</v>
      </c>
      <c r="O15" s="6"/>
      <c r="P15" s="128" t="s">
        <v>198</v>
      </c>
      <c r="Q15" s="129" t="s">
        <v>176</v>
      </c>
      <c r="R15" s="129"/>
      <c r="S15" s="130" t="s">
        <v>5</v>
      </c>
      <c r="T15" s="128" t="s">
        <v>6</v>
      </c>
      <c r="U15" s="128" t="s">
        <v>7</v>
      </c>
      <c r="V15" s="128" t="s">
        <v>8</v>
      </c>
      <c r="W15" s="128" t="s">
        <v>9</v>
      </c>
      <c r="X15" s="128" t="s">
        <v>10</v>
      </c>
      <c r="Y15" s="131" t="s">
        <v>177</v>
      </c>
    </row>
    <row r="16" spans="1:25" ht="17.399999999999999" x14ac:dyDescent="0.35">
      <c r="A16" s="35" t="s">
        <v>66</v>
      </c>
      <c r="B16" s="36"/>
      <c r="C16" s="9">
        <v>33</v>
      </c>
      <c r="D16" s="9"/>
      <c r="E16" s="9">
        <v>25</v>
      </c>
      <c r="F16" s="9"/>
      <c r="G16" s="9">
        <v>17</v>
      </c>
      <c r="H16" s="9"/>
      <c r="I16" s="9">
        <v>9</v>
      </c>
      <c r="J16" s="9"/>
      <c r="K16" s="10" t="str">
        <f t="shared" ref="K16:K24" ca="1" si="13">IFERROR(CHOOSE((Q16=H$66)*1+(Q16=I$66)*2+(Q16=H$64)*3,"Guld","Sølv","Bronze"),"")</f>
        <v/>
      </c>
      <c r="L16" s="11">
        <f t="shared" ref="L16:L24" ca="1" si="14">COUNTIF(team1,$B3)</f>
        <v>4</v>
      </c>
      <c r="M16" s="11">
        <f t="shared" ref="M16:M24" ca="1" si="15">COUNTIF(team2,$B3)</f>
        <v>4</v>
      </c>
      <c r="N16" s="11">
        <f ca="1">SUM(L16:M16)</f>
        <v>8</v>
      </c>
      <c r="O16" s="11"/>
      <c r="P16" s="119">
        <v>1</v>
      </c>
      <c r="Q16" s="120" t="str">
        <f t="shared" ref="Q16:Q24" ca="1" si="16" xml:space="preserve">  INDEX(teams,MATCH(rankNum,actRank,0))</f>
        <v>Assens</v>
      </c>
      <c r="R16" s="120"/>
      <c r="S16" s="127">
        <f t="shared" ref="S16:S24" ca="1" si="17">COUNTIFS(team1,teamName,points1,"&gt;=0")+COUNTIFS(team2,teamName,points2,"&gt;=0")</f>
        <v>0</v>
      </c>
      <c r="T16" s="143">
        <f t="shared" ref="T16:T24" ca="1" si="18">COUNTIFS(team1,teamName,points1,ptv)+COUNTIFS(team2,teamName,points2,ptv)</f>
        <v>0</v>
      </c>
      <c r="U16" s="121">
        <f t="shared" ref="U16:U24" ca="1" si="19">COUNTIFS(team1,teamName,points1,ptu)+COUNTIFS(team2,teamName,points2,ptu)</f>
        <v>0</v>
      </c>
      <c r="V16" s="121">
        <f t="shared" ref="V16:V24" ca="1" si="20">COUNTIFS(team1,teamName,points1,ptt)+COUNTIFS(team2,teamName,points2,ptt)</f>
        <v>0</v>
      </c>
      <c r="W16" s="143">
        <f t="shared" ref="W16:W24" ca="1" si="21">SUMIF(team1,teamName,goals1)+SUMIF(team2,teamName,goals2)</f>
        <v>0</v>
      </c>
      <c r="X16" s="121">
        <f t="shared" ref="X16:X24" ca="1" si="22">SUMIF(team1,teamName,goals2)+SUMIF(team2,teamName,goals1)</f>
        <v>0</v>
      </c>
      <c r="Y16" s="144">
        <f t="shared" ref="Y16:Y24" ca="1" si="23">SUMIFS(points1,team1,teamName)+SUMIFS(points2,team2,teamName)</f>
        <v>0</v>
      </c>
    </row>
    <row r="17" spans="1:25" ht="17.399999999999999" x14ac:dyDescent="0.35">
      <c r="A17" s="35" t="s">
        <v>67</v>
      </c>
      <c r="B17" s="9"/>
      <c r="C17" s="36"/>
      <c r="D17" s="9">
        <v>16</v>
      </c>
      <c r="E17" s="9"/>
      <c r="F17" s="9">
        <v>11</v>
      </c>
      <c r="G17" s="9"/>
      <c r="H17" s="9">
        <v>6</v>
      </c>
      <c r="I17" s="9"/>
      <c r="J17" s="9">
        <v>1</v>
      </c>
      <c r="K17" s="10" t="str">
        <f t="shared" ca="1" si="13"/>
        <v/>
      </c>
      <c r="L17" s="11">
        <f t="shared" ca="1" si="14"/>
        <v>4</v>
      </c>
      <c r="M17" s="11">
        <f t="shared" ca="1" si="15"/>
        <v>4</v>
      </c>
      <c r="N17" s="11">
        <f t="shared" ref="N17:N23" ca="1" si="24">SUM(L17:M17)</f>
        <v>8</v>
      </c>
      <c r="O17" s="11"/>
      <c r="P17" s="119">
        <v>2</v>
      </c>
      <c r="Q17" s="120" t="str">
        <f t="shared" ca="1" si="16"/>
        <v>Bogense</v>
      </c>
      <c r="R17" s="120"/>
      <c r="S17" s="127">
        <f t="shared" ca="1" si="17"/>
        <v>0</v>
      </c>
      <c r="T17" s="143">
        <f t="shared" ca="1" si="18"/>
        <v>0</v>
      </c>
      <c r="U17" s="121">
        <f t="shared" ca="1" si="19"/>
        <v>0</v>
      </c>
      <c r="V17" s="121">
        <f t="shared" ca="1" si="20"/>
        <v>0</v>
      </c>
      <c r="W17" s="143">
        <f t="shared" ca="1" si="21"/>
        <v>0</v>
      </c>
      <c r="X17" s="121">
        <f t="shared" ca="1" si="22"/>
        <v>0</v>
      </c>
      <c r="Y17" s="144">
        <f t="shared" ca="1" si="23"/>
        <v>0</v>
      </c>
    </row>
    <row r="18" spans="1:25" ht="17.399999999999999" x14ac:dyDescent="0.35">
      <c r="A18" s="35" t="s">
        <v>68</v>
      </c>
      <c r="B18" s="9">
        <v>29</v>
      </c>
      <c r="C18" s="9"/>
      <c r="D18" s="36"/>
      <c r="E18" s="9">
        <v>12</v>
      </c>
      <c r="F18" s="9"/>
      <c r="G18" s="9">
        <v>7</v>
      </c>
      <c r="H18" s="9"/>
      <c r="I18" s="9">
        <v>2</v>
      </c>
      <c r="J18" s="9"/>
      <c r="K18" s="10" t="str">
        <f t="shared" ca="1" si="13"/>
        <v/>
      </c>
      <c r="L18" s="11">
        <f t="shared" ca="1" si="14"/>
        <v>4</v>
      </c>
      <c r="M18" s="11">
        <f t="shared" ca="1" si="15"/>
        <v>4</v>
      </c>
      <c r="N18" s="11">
        <f t="shared" ca="1" si="24"/>
        <v>8</v>
      </c>
      <c r="O18" s="11"/>
      <c r="P18" s="119">
        <v>3</v>
      </c>
      <c r="Q18" s="120" t="str">
        <f t="shared" ca="1" si="16"/>
        <v>Christiansfelt</v>
      </c>
      <c r="R18" s="120"/>
      <c r="S18" s="127">
        <f t="shared" ca="1" si="17"/>
        <v>0</v>
      </c>
      <c r="T18" s="143">
        <f t="shared" ca="1" si="18"/>
        <v>0</v>
      </c>
      <c r="U18" s="121">
        <f t="shared" ca="1" si="19"/>
        <v>0</v>
      </c>
      <c r="V18" s="121">
        <f t="shared" ca="1" si="20"/>
        <v>0</v>
      </c>
      <c r="W18" s="143">
        <f t="shared" ca="1" si="21"/>
        <v>0</v>
      </c>
      <c r="X18" s="121">
        <f t="shared" ca="1" si="22"/>
        <v>0</v>
      </c>
      <c r="Y18" s="144">
        <f t="shared" ca="1" si="23"/>
        <v>0</v>
      </c>
    </row>
    <row r="19" spans="1:25" ht="17.399999999999999" x14ac:dyDescent="0.35">
      <c r="A19" s="35" t="s">
        <v>69</v>
      </c>
      <c r="B19" s="9"/>
      <c r="C19" s="9">
        <v>30</v>
      </c>
      <c r="D19" s="9"/>
      <c r="E19" s="36"/>
      <c r="F19" s="9">
        <v>8</v>
      </c>
      <c r="G19" s="9"/>
      <c r="H19" s="9">
        <v>3</v>
      </c>
      <c r="I19" s="9"/>
      <c r="J19" s="9">
        <v>34</v>
      </c>
      <c r="K19" s="10" t="str">
        <f t="shared" ca="1" si="13"/>
        <v/>
      </c>
      <c r="L19" s="11">
        <f t="shared" ca="1" si="14"/>
        <v>4</v>
      </c>
      <c r="M19" s="11">
        <f t="shared" ca="1" si="15"/>
        <v>4</v>
      </c>
      <c r="N19" s="11">
        <f t="shared" ca="1" si="24"/>
        <v>8</v>
      </c>
      <c r="O19" s="11"/>
      <c r="P19" s="119">
        <v>4</v>
      </c>
      <c r="Q19" s="120" t="str">
        <f t="shared" ca="1" si="16"/>
        <v>Dragør</v>
      </c>
      <c r="R19" s="120"/>
      <c r="S19" s="127">
        <f t="shared" ca="1" si="17"/>
        <v>0</v>
      </c>
      <c r="T19" s="143">
        <f t="shared" ca="1" si="18"/>
        <v>0</v>
      </c>
      <c r="U19" s="121">
        <f t="shared" ca="1" si="19"/>
        <v>0</v>
      </c>
      <c r="V19" s="121">
        <f t="shared" ca="1" si="20"/>
        <v>0</v>
      </c>
      <c r="W19" s="143">
        <f t="shared" ca="1" si="21"/>
        <v>0</v>
      </c>
      <c r="X19" s="121">
        <f t="shared" ca="1" si="22"/>
        <v>0</v>
      </c>
      <c r="Y19" s="144">
        <f t="shared" ca="1" si="23"/>
        <v>0</v>
      </c>
    </row>
    <row r="20" spans="1:25" ht="17.399999999999999" x14ac:dyDescent="0.35">
      <c r="A20" s="35" t="s">
        <v>70</v>
      </c>
      <c r="B20" s="9">
        <v>21</v>
      </c>
      <c r="C20" s="9"/>
      <c r="D20" s="9">
        <v>26</v>
      </c>
      <c r="E20" s="9"/>
      <c r="F20" s="36"/>
      <c r="G20" s="9">
        <v>4</v>
      </c>
      <c r="H20" s="9"/>
      <c r="I20" s="9">
        <v>35</v>
      </c>
      <c r="J20" s="9"/>
      <c r="K20" s="10" t="str">
        <f t="shared" ca="1" si="13"/>
        <v/>
      </c>
      <c r="L20" s="11">
        <f t="shared" ca="1" si="14"/>
        <v>4</v>
      </c>
      <c r="M20" s="11">
        <f t="shared" ca="1" si="15"/>
        <v>4</v>
      </c>
      <c r="N20" s="11">
        <f t="shared" ca="1" si="24"/>
        <v>8</v>
      </c>
      <c r="O20" s="11"/>
      <c r="P20" s="119">
        <v>5</v>
      </c>
      <c r="Q20" s="120" t="str">
        <f t="shared" ca="1" si="16"/>
        <v>Ejby</v>
      </c>
      <c r="R20" s="120"/>
      <c r="S20" s="127">
        <f t="shared" ca="1" si="17"/>
        <v>0</v>
      </c>
      <c r="T20" s="143">
        <f t="shared" ca="1" si="18"/>
        <v>0</v>
      </c>
      <c r="U20" s="121">
        <f t="shared" ca="1" si="19"/>
        <v>0</v>
      </c>
      <c r="V20" s="121">
        <f t="shared" ca="1" si="20"/>
        <v>0</v>
      </c>
      <c r="W20" s="143">
        <f t="shared" ca="1" si="21"/>
        <v>0</v>
      </c>
      <c r="X20" s="121">
        <f t="shared" ca="1" si="22"/>
        <v>0</v>
      </c>
      <c r="Y20" s="144">
        <f t="shared" ca="1" si="23"/>
        <v>0</v>
      </c>
    </row>
    <row r="21" spans="1:25" ht="17.399999999999999" x14ac:dyDescent="0.35">
      <c r="A21" s="35" t="s">
        <v>71</v>
      </c>
      <c r="B21" s="9"/>
      <c r="C21" s="9">
        <v>27</v>
      </c>
      <c r="D21" s="9"/>
      <c r="E21" s="9">
        <v>22</v>
      </c>
      <c r="F21" s="9"/>
      <c r="G21" s="36"/>
      <c r="H21" s="9">
        <v>36</v>
      </c>
      <c r="I21" s="9"/>
      <c r="J21" s="9">
        <v>31</v>
      </c>
      <c r="K21" s="10" t="str">
        <f t="shared" ca="1" si="13"/>
        <v/>
      </c>
      <c r="L21" s="11">
        <f t="shared" ca="1" si="14"/>
        <v>4</v>
      </c>
      <c r="M21" s="11">
        <f t="shared" ca="1" si="15"/>
        <v>4</v>
      </c>
      <c r="N21" s="11">
        <f t="shared" ca="1" si="24"/>
        <v>8</v>
      </c>
      <c r="O21" s="11"/>
      <c r="P21" s="119">
        <v>6</v>
      </c>
      <c r="Q21" s="120" t="str">
        <f t="shared" ca="1" si="16"/>
        <v>Fjerritslev</v>
      </c>
      <c r="R21" s="120"/>
      <c r="S21" s="127">
        <f t="shared" ca="1" si="17"/>
        <v>0</v>
      </c>
      <c r="T21" s="143">
        <f t="shared" ca="1" si="18"/>
        <v>0</v>
      </c>
      <c r="U21" s="121">
        <f t="shared" ca="1" si="19"/>
        <v>0</v>
      </c>
      <c r="V21" s="121">
        <f t="shared" ca="1" si="20"/>
        <v>0</v>
      </c>
      <c r="W21" s="143">
        <f t="shared" ca="1" si="21"/>
        <v>0</v>
      </c>
      <c r="X21" s="121">
        <f t="shared" ca="1" si="22"/>
        <v>0</v>
      </c>
      <c r="Y21" s="144">
        <f t="shared" ca="1" si="23"/>
        <v>0</v>
      </c>
    </row>
    <row r="22" spans="1:25" ht="17.399999999999999" x14ac:dyDescent="0.35">
      <c r="A22" s="35" t="s">
        <v>72</v>
      </c>
      <c r="B22" s="9">
        <v>13</v>
      </c>
      <c r="C22" s="9"/>
      <c r="D22" s="9">
        <v>23</v>
      </c>
      <c r="E22" s="9"/>
      <c r="F22" s="9">
        <v>18</v>
      </c>
      <c r="G22" s="9"/>
      <c r="H22" s="36"/>
      <c r="I22" s="9">
        <v>32</v>
      </c>
      <c r="J22" s="9"/>
      <c r="K22" s="10" t="str">
        <f t="shared" ca="1" si="13"/>
        <v/>
      </c>
      <c r="L22" s="11">
        <f t="shared" ca="1" si="14"/>
        <v>4</v>
      </c>
      <c r="M22" s="11">
        <f t="shared" ca="1" si="15"/>
        <v>4</v>
      </c>
      <c r="N22" s="11">
        <f t="shared" ca="1" si="24"/>
        <v>8</v>
      </c>
      <c r="O22" s="11"/>
      <c r="P22" s="119">
        <v>7</v>
      </c>
      <c r="Q22" s="120" t="str">
        <f t="shared" ca="1" si="16"/>
        <v>Glamsbjerg</v>
      </c>
      <c r="R22" s="120"/>
      <c r="S22" s="127">
        <f t="shared" ca="1" si="17"/>
        <v>0</v>
      </c>
      <c r="T22" s="143">
        <f t="shared" ca="1" si="18"/>
        <v>0</v>
      </c>
      <c r="U22" s="121">
        <f t="shared" ca="1" si="19"/>
        <v>0</v>
      </c>
      <c r="V22" s="121">
        <f t="shared" ca="1" si="20"/>
        <v>0</v>
      </c>
      <c r="W22" s="143">
        <f t="shared" ca="1" si="21"/>
        <v>0</v>
      </c>
      <c r="X22" s="121">
        <f t="shared" ca="1" si="22"/>
        <v>0</v>
      </c>
      <c r="Y22" s="144">
        <f t="shared" ca="1" si="23"/>
        <v>0</v>
      </c>
    </row>
    <row r="23" spans="1:25" ht="17.399999999999999" x14ac:dyDescent="0.35">
      <c r="A23" s="35" t="s">
        <v>73</v>
      </c>
      <c r="B23" s="9"/>
      <c r="C23" s="9">
        <v>24</v>
      </c>
      <c r="D23" s="9"/>
      <c r="E23" s="9">
        <v>19</v>
      </c>
      <c r="F23" s="9"/>
      <c r="G23" s="9">
        <v>14</v>
      </c>
      <c r="H23" s="9"/>
      <c r="I23" s="36"/>
      <c r="J23" s="9">
        <v>28</v>
      </c>
      <c r="K23" s="10" t="str">
        <f t="shared" ca="1" si="13"/>
        <v/>
      </c>
      <c r="L23" s="11">
        <f t="shared" ca="1" si="14"/>
        <v>4</v>
      </c>
      <c r="M23" s="11">
        <f t="shared" ca="1" si="15"/>
        <v>4</v>
      </c>
      <c r="N23" s="11">
        <f t="shared" ca="1" si="24"/>
        <v>8</v>
      </c>
      <c r="O23" s="11"/>
      <c r="P23" s="119">
        <v>8</v>
      </c>
      <c r="Q23" s="120" t="str">
        <f t="shared" ca="1" si="16"/>
        <v>Holeby</v>
      </c>
      <c r="R23" s="120"/>
      <c r="S23" s="127">
        <f t="shared" ca="1" si="17"/>
        <v>0</v>
      </c>
      <c r="T23" s="143">
        <f t="shared" ca="1" si="18"/>
        <v>0</v>
      </c>
      <c r="U23" s="121">
        <f t="shared" ca="1" si="19"/>
        <v>0</v>
      </c>
      <c r="V23" s="121">
        <f t="shared" ca="1" si="20"/>
        <v>0</v>
      </c>
      <c r="W23" s="143">
        <f t="shared" ca="1" si="21"/>
        <v>0</v>
      </c>
      <c r="X23" s="121">
        <f t="shared" ca="1" si="22"/>
        <v>0</v>
      </c>
      <c r="Y23" s="144">
        <f t="shared" ca="1" si="23"/>
        <v>0</v>
      </c>
    </row>
    <row r="24" spans="1:25" ht="17.399999999999999" x14ac:dyDescent="0.35">
      <c r="A24" s="35" t="s">
        <v>74</v>
      </c>
      <c r="B24" s="9">
        <v>5</v>
      </c>
      <c r="C24" s="9"/>
      <c r="D24" s="9">
        <v>20</v>
      </c>
      <c r="E24" s="9"/>
      <c r="F24" s="9">
        <v>15</v>
      </c>
      <c r="G24" s="9"/>
      <c r="H24" s="9">
        <v>10</v>
      </c>
      <c r="I24" s="9"/>
      <c r="J24" s="36"/>
      <c r="K24" s="10" t="str">
        <f t="shared" ca="1" si="13"/>
        <v/>
      </c>
      <c r="L24" s="11">
        <f t="shared" ca="1" si="14"/>
        <v>4</v>
      </c>
      <c r="M24" s="11">
        <f t="shared" ca="1" si="15"/>
        <v>4</v>
      </c>
      <c r="N24" s="11">
        <f t="shared" ref="N24" ca="1" si="25">SUM(L24:M24)</f>
        <v>8</v>
      </c>
      <c r="O24" s="11"/>
      <c r="P24" s="119">
        <v>9</v>
      </c>
      <c r="Q24" s="120" t="str">
        <f t="shared" ca="1" si="16"/>
        <v>Indre By</v>
      </c>
      <c r="R24" s="120"/>
      <c r="S24" s="127">
        <f t="shared" ca="1" si="17"/>
        <v>0</v>
      </c>
      <c r="T24" s="143">
        <f t="shared" ca="1" si="18"/>
        <v>0</v>
      </c>
      <c r="U24" s="121">
        <f t="shared" ca="1" si="19"/>
        <v>0</v>
      </c>
      <c r="V24" s="121">
        <f t="shared" ca="1" si="20"/>
        <v>0</v>
      </c>
      <c r="W24" s="143">
        <f t="shared" ca="1" si="21"/>
        <v>0</v>
      </c>
      <c r="X24" s="121">
        <f t="shared" ca="1" si="22"/>
        <v>0</v>
      </c>
      <c r="Y24" s="144">
        <f t="shared" ca="1" si="23"/>
        <v>0</v>
      </c>
    </row>
    <row r="25" spans="1:25" ht="12" customHeight="1" x14ac:dyDescent="0.2">
      <c r="A25" s="6"/>
      <c r="B25" s="37"/>
      <c r="C25" s="37"/>
      <c r="D25" s="37"/>
      <c r="E25" s="37"/>
      <c r="F25" s="37"/>
      <c r="G25" s="37"/>
      <c r="H25" s="37"/>
      <c r="I25" s="37"/>
      <c r="J25" s="37"/>
      <c r="K25" s="37"/>
      <c r="L25" s="37"/>
      <c r="M25" s="11"/>
      <c r="N25" s="11"/>
      <c r="O25" s="11"/>
      <c r="P25"/>
      <c r="Q25"/>
      <c r="R25"/>
      <c r="S25"/>
    </row>
    <row r="26" spans="1:25" s="12" customFormat="1" ht="15" thickBot="1" x14ac:dyDescent="0.35">
      <c r="B26"/>
      <c r="C26" s="44" t="s">
        <v>17</v>
      </c>
      <c r="D26" s="45" t="s">
        <v>18</v>
      </c>
      <c r="E26" s="44" t="s">
        <v>19</v>
      </c>
      <c r="F26" s="48" t="s">
        <v>20</v>
      </c>
      <c r="G26" s="48" t="s">
        <v>21</v>
      </c>
      <c r="H26" s="48" t="s">
        <v>22</v>
      </c>
      <c r="I26" s="48" t="s">
        <v>23</v>
      </c>
      <c r="J26" s="48" t="s">
        <v>24</v>
      </c>
      <c r="K26" s="49" t="s">
        <v>25</v>
      </c>
      <c r="L26" s="12">
        <v>43437</v>
      </c>
      <c r="M26">
        <v>43437</v>
      </c>
      <c r="P26" s="140" t="s">
        <v>5</v>
      </c>
      <c r="Q26" s="139" t="s">
        <v>26</v>
      </c>
      <c r="R26" s="139" t="s">
        <v>27</v>
      </c>
      <c r="S26" s="158" t="s">
        <v>25</v>
      </c>
      <c r="T26" s="158" t="s">
        <v>196</v>
      </c>
      <c r="U26" s="158" t="s">
        <v>195</v>
      </c>
      <c r="V26" s="159" t="s">
        <v>193</v>
      </c>
      <c r="W26" s="159" t="s">
        <v>194</v>
      </c>
      <c r="X26" s="138" t="s">
        <v>32</v>
      </c>
      <c r="Y26" s="138" t="s">
        <v>32</v>
      </c>
    </row>
    <row r="27" spans="1:25" ht="17.399999999999999" x14ac:dyDescent="0.35">
      <c r="C27" s="56" t="s">
        <v>77</v>
      </c>
      <c r="D27" s="58"/>
      <c r="E27" s="56">
        <v>1</v>
      </c>
      <c r="F27" s="58">
        <f t="shared" ref="F27:F62" si="26">SUMPRODUCT((HxA=$E27)*(COLUMN(HxA)))-COLUMN(HxA)+1</f>
        <v>10</v>
      </c>
      <c r="G27" s="58">
        <f>SUMPRODUCT((HxA=$E27)*(ROW(HxA)))-ROW(HxA)+1</f>
        <v>3</v>
      </c>
      <c r="H27" s="59" t="str">
        <f t="shared" ref="H27:H58" si="27">INDEX(HxA,G27,1)</f>
        <v>T_02</v>
      </c>
      <c r="I27" s="59" t="str">
        <f t="shared" ref="I27:I58" si="28">INDEX(HxA,1,F27)</f>
        <v>T_09</v>
      </c>
      <c r="J27" s="86">
        <v>1</v>
      </c>
      <c r="K27" s="87">
        <v>43832</v>
      </c>
      <c r="L27">
        <v>43437</v>
      </c>
      <c r="M27" s="12">
        <v>43437</v>
      </c>
      <c r="N27"/>
      <c r="O27"/>
      <c r="P27" s="122">
        <v>1</v>
      </c>
      <c r="Q27" s="122" t="str">
        <f ca="1">INDIRECT(H27)</f>
        <v>Bogense</v>
      </c>
      <c r="R27" s="122" t="str">
        <f t="shared" ref="R27:R62" ca="1" si="29">INDIRECT(I27)</f>
        <v>Indre By</v>
      </c>
      <c r="S27" s="141"/>
      <c r="T27" s="142" t="s">
        <v>33</v>
      </c>
      <c r="U27" s="152"/>
      <c r="V27" s="153"/>
      <c r="W27" s="154"/>
      <c r="X27" s="121" t="str">
        <f t="shared" ref="X27:X62" si="30">IF(ISNUMBER(V27)*ISNUMBER(W27),IF(V27&gt;W27,ptv, IF(V27=W27,ptu,ptt)),"-")</f>
        <v>-</v>
      </c>
      <c r="Y27" s="121" t="str">
        <f t="shared" ref="Y27:Y62" si="31">IF(ISNUMBER(V27)*ISNUMBER(W27),IF(X27=ptv,ptt,IF(X27=ptu,ptu,ptv)),"-")</f>
        <v>-</v>
      </c>
    </row>
    <row r="28" spans="1:25" ht="17.399999999999999" x14ac:dyDescent="0.35">
      <c r="C28" s="56" t="s">
        <v>78</v>
      </c>
      <c r="D28" s="57">
        <f t="shared" ref="D28:D62" si="32">OR(H28=H27,H28=I27,I28=H27,I28=I27)*1</f>
        <v>0</v>
      </c>
      <c r="E28" s="56">
        <v>2</v>
      </c>
      <c r="F28" s="58">
        <f t="shared" si="26"/>
        <v>9</v>
      </c>
      <c r="G28" s="58">
        <f t="shared" ref="G28:G62" si="33">SUMPRODUCT((HxA=$E28)*(ROW(HxA)))-ROW(HxA)+1</f>
        <v>4</v>
      </c>
      <c r="H28" s="59" t="str">
        <f t="shared" si="27"/>
        <v>T_03</v>
      </c>
      <c r="I28" s="59" t="str">
        <f t="shared" si="28"/>
        <v>T_08</v>
      </c>
      <c r="J28" s="59">
        <f>J27</f>
        <v>1</v>
      </c>
      <c r="K28" s="60">
        <f t="shared" ref="K28:K62" si="34">$K$27+J28</f>
        <v>43833</v>
      </c>
      <c r="L28">
        <v>43437</v>
      </c>
      <c r="M28">
        <v>43437</v>
      </c>
      <c r="N28"/>
      <c r="O28"/>
      <c r="P28" s="122">
        <v>2</v>
      </c>
      <c r="Q28" s="122" t="str">
        <f t="shared" ref="Q28:Q62" ca="1" si="35">INDIRECT(H28)</f>
        <v>Christiansfelt</v>
      </c>
      <c r="R28" s="122" t="str">
        <f t="shared" ca="1" si="29"/>
        <v>Holeby</v>
      </c>
      <c r="S28" s="134"/>
      <c r="T28" s="123" t="str">
        <f>IFERROR(T27+mMin,"-")</f>
        <v>-</v>
      </c>
      <c r="U28" s="146"/>
      <c r="V28" s="147"/>
      <c r="W28" s="148"/>
      <c r="X28" s="121" t="str">
        <f t="shared" si="30"/>
        <v>-</v>
      </c>
      <c r="Y28" s="121" t="str">
        <f t="shared" si="31"/>
        <v>-</v>
      </c>
    </row>
    <row r="29" spans="1:25" ht="17.399999999999999" x14ac:dyDescent="0.35">
      <c r="C29" s="56" t="s">
        <v>79</v>
      </c>
      <c r="D29" s="57">
        <f t="shared" si="32"/>
        <v>0</v>
      </c>
      <c r="E29" s="56">
        <v>3</v>
      </c>
      <c r="F29" s="58">
        <f t="shared" si="26"/>
        <v>8</v>
      </c>
      <c r="G29" s="58">
        <f t="shared" si="33"/>
        <v>5</v>
      </c>
      <c r="H29" s="59" t="str">
        <f t="shared" si="27"/>
        <v>T_04</v>
      </c>
      <c r="I29" s="59" t="str">
        <f t="shared" si="28"/>
        <v>T_07</v>
      </c>
      <c r="J29" s="59">
        <f t="shared" ref="J29:J31" si="36">J28</f>
        <v>1</v>
      </c>
      <c r="K29" s="60">
        <f t="shared" si="34"/>
        <v>43833</v>
      </c>
      <c r="L29">
        <v>43437</v>
      </c>
      <c r="M29">
        <v>43437</v>
      </c>
      <c r="N29"/>
      <c r="O29"/>
      <c r="P29" s="122">
        <v>3</v>
      </c>
      <c r="Q29" s="122" t="str">
        <f t="shared" ca="1" si="35"/>
        <v>Dragør</v>
      </c>
      <c r="R29" s="122" t="str">
        <f t="shared" ca="1" si="29"/>
        <v>Glamsbjerg</v>
      </c>
      <c r="S29" s="134"/>
      <c r="T29" s="123" t="str">
        <f>IFERROR(T28+mMin,"-")</f>
        <v>-</v>
      </c>
      <c r="U29" s="146"/>
      <c r="V29" s="147"/>
      <c r="W29" s="148"/>
      <c r="X29" s="121" t="str">
        <f t="shared" si="30"/>
        <v>-</v>
      </c>
      <c r="Y29" s="121" t="str">
        <f t="shared" si="31"/>
        <v>-</v>
      </c>
    </row>
    <row r="30" spans="1:25" ht="18" thickBot="1" x14ac:dyDescent="0.4">
      <c r="C30" s="67" t="s">
        <v>80</v>
      </c>
      <c r="D30" s="66">
        <f t="shared" si="32"/>
        <v>0</v>
      </c>
      <c r="E30" s="67">
        <v>4</v>
      </c>
      <c r="F30" s="68">
        <f t="shared" si="26"/>
        <v>7</v>
      </c>
      <c r="G30" s="68">
        <f t="shared" si="33"/>
        <v>6</v>
      </c>
      <c r="H30" s="69" t="str">
        <f t="shared" si="27"/>
        <v>T_05</v>
      </c>
      <c r="I30" s="69" t="str">
        <f t="shared" si="28"/>
        <v>T_06</v>
      </c>
      <c r="J30" s="69">
        <f t="shared" si="36"/>
        <v>1</v>
      </c>
      <c r="K30" s="70">
        <f t="shared" si="34"/>
        <v>43833</v>
      </c>
      <c r="L30">
        <v>43437</v>
      </c>
      <c r="M30">
        <v>43437</v>
      </c>
      <c r="N30"/>
      <c r="O30"/>
      <c r="P30" s="124">
        <v>4</v>
      </c>
      <c r="Q30" s="124" t="str">
        <f t="shared" ca="1" si="35"/>
        <v>Ejby</v>
      </c>
      <c r="R30" s="124" t="str">
        <f t="shared" ca="1" si="29"/>
        <v>Fjerritslev</v>
      </c>
      <c r="S30" s="135"/>
      <c r="T30" s="125" t="str">
        <f>IFERROR(T29+mMin,"-")</f>
        <v>-</v>
      </c>
      <c r="U30" s="149"/>
      <c r="V30" s="150"/>
      <c r="W30" s="151"/>
      <c r="X30" s="126" t="str">
        <f t="shared" si="30"/>
        <v>-</v>
      </c>
      <c r="Y30" s="126" t="str">
        <f t="shared" si="31"/>
        <v>-</v>
      </c>
    </row>
    <row r="31" spans="1:25" ht="17.399999999999999" x14ac:dyDescent="0.35">
      <c r="C31" s="63" t="s">
        <v>81</v>
      </c>
      <c r="D31" s="62">
        <f t="shared" si="32"/>
        <v>0</v>
      </c>
      <c r="E31" s="63">
        <v>5</v>
      </c>
      <c r="F31" s="51">
        <f t="shared" si="26"/>
        <v>2</v>
      </c>
      <c r="G31" s="51">
        <f t="shared" si="33"/>
        <v>10</v>
      </c>
      <c r="H31" s="64" t="str">
        <f t="shared" si="27"/>
        <v>T_09</v>
      </c>
      <c r="I31" s="64" t="str">
        <f t="shared" si="28"/>
        <v>T_01</v>
      </c>
      <c r="J31" s="64">
        <f t="shared" si="36"/>
        <v>1</v>
      </c>
      <c r="K31" s="65">
        <f t="shared" si="34"/>
        <v>43833</v>
      </c>
      <c r="L31">
        <v>43437</v>
      </c>
      <c r="M31">
        <v>43437</v>
      </c>
      <c r="N31"/>
      <c r="O31"/>
      <c r="P31" s="122">
        <v>5</v>
      </c>
      <c r="Q31" s="122" t="str">
        <f t="shared" ca="1" si="35"/>
        <v>Indre By</v>
      </c>
      <c r="R31" s="122" t="str">
        <f t="shared" ca="1" si="29"/>
        <v>Assens</v>
      </c>
      <c r="S31" s="141"/>
      <c r="T31" s="142" t="s">
        <v>33</v>
      </c>
      <c r="U31" s="152"/>
      <c r="V31" s="153"/>
      <c r="W31" s="154"/>
      <c r="X31" s="121" t="str">
        <f t="shared" si="30"/>
        <v>-</v>
      </c>
      <c r="Y31" s="121" t="str">
        <f t="shared" si="31"/>
        <v>-</v>
      </c>
    </row>
    <row r="32" spans="1:25" ht="17.399999999999999" x14ac:dyDescent="0.35">
      <c r="C32" s="56" t="s">
        <v>83</v>
      </c>
      <c r="D32" s="57">
        <f t="shared" si="32"/>
        <v>0</v>
      </c>
      <c r="E32" s="56">
        <v>6</v>
      </c>
      <c r="F32" s="58">
        <f t="shared" si="26"/>
        <v>8</v>
      </c>
      <c r="G32" s="58">
        <f t="shared" si="33"/>
        <v>3</v>
      </c>
      <c r="H32" s="59" t="str">
        <f t="shared" si="27"/>
        <v>T_02</v>
      </c>
      <c r="I32" s="59" t="str">
        <f t="shared" si="28"/>
        <v>T_07</v>
      </c>
      <c r="J32" s="59">
        <f>J27+1</f>
        <v>2</v>
      </c>
      <c r="K32" s="60">
        <f t="shared" si="34"/>
        <v>43834</v>
      </c>
      <c r="L32">
        <v>43437</v>
      </c>
      <c r="M32">
        <v>43437</v>
      </c>
      <c r="N32"/>
      <c r="O32"/>
      <c r="P32" s="122">
        <v>6</v>
      </c>
      <c r="Q32" s="122" t="str">
        <f t="shared" ca="1" si="35"/>
        <v>Bogense</v>
      </c>
      <c r="R32" s="122" t="str">
        <f t="shared" ca="1" si="29"/>
        <v>Glamsbjerg</v>
      </c>
      <c r="S32" s="134"/>
      <c r="T32" s="123" t="str">
        <f>IFERROR(T31+mMin,"-")</f>
        <v>-</v>
      </c>
      <c r="U32" s="146"/>
      <c r="V32" s="147"/>
      <c r="W32" s="148"/>
      <c r="X32" s="121" t="str">
        <f t="shared" si="30"/>
        <v>-</v>
      </c>
      <c r="Y32" s="121" t="str">
        <f t="shared" si="31"/>
        <v>-</v>
      </c>
    </row>
    <row r="33" spans="3:25" ht="17.399999999999999" x14ac:dyDescent="0.35">
      <c r="C33" s="56" t="s">
        <v>84</v>
      </c>
      <c r="D33" s="57">
        <f t="shared" si="32"/>
        <v>0</v>
      </c>
      <c r="E33" s="56">
        <v>7</v>
      </c>
      <c r="F33" s="58">
        <f t="shared" si="26"/>
        <v>7</v>
      </c>
      <c r="G33" s="58">
        <f t="shared" si="33"/>
        <v>4</v>
      </c>
      <c r="H33" s="59" t="str">
        <f t="shared" si="27"/>
        <v>T_03</v>
      </c>
      <c r="I33" s="59" t="str">
        <f t="shared" si="28"/>
        <v>T_06</v>
      </c>
      <c r="J33" s="59">
        <f>J32</f>
        <v>2</v>
      </c>
      <c r="K33" s="60">
        <f t="shared" si="34"/>
        <v>43834</v>
      </c>
      <c r="L33">
        <v>43437</v>
      </c>
      <c r="M33">
        <v>43437</v>
      </c>
      <c r="N33"/>
      <c r="O33"/>
      <c r="P33" s="122">
        <v>7</v>
      </c>
      <c r="Q33" s="122" t="str">
        <f t="shared" ca="1" si="35"/>
        <v>Christiansfelt</v>
      </c>
      <c r="R33" s="122" t="str">
        <f t="shared" ca="1" si="29"/>
        <v>Fjerritslev</v>
      </c>
      <c r="S33" s="134"/>
      <c r="T33" s="123" t="str">
        <f>IFERROR(T32+mMin,"-")</f>
        <v>-</v>
      </c>
      <c r="U33" s="146"/>
      <c r="V33" s="147"/>
      <c r="W33" s="148"/>
      <c r="X33" s="121" t="str">
        <f t="shared" si="30"/>
        <v>-</v>
      </c>
      <c r="Y33" s="121" t="str">
        <f t="shared" si="31"/>
        <v>-</v>
      </c>
    </row>
    <row r="34" spans="3:25" ht="18" thickBot="1" x14ac:dyDescent="0.4">
      <c r="C34" s="67" t="s">
        <v>85</v>
      </c>
      <c r="D34" s="66">
        <f t="shared" si="32"/>
        <v>0</v>
      </c>
      <c r="E34" s="67">
        <v>8</v>
      </c>
      <c r="F34" s="68">
        <f t="shared" si="26"/>
        <v>6</v>
      </c>
      <c r="G34" s="68">
        <f t="shared" si="33"/>
        <v>5</v>
      </c>
      <c r="H34" s="69" t="str">
        <f t="shared" si="27"/>
        <v>T_04</v>
      </c>
      <c r="I34" s="69" t="str">
        <f t="shared" si="28"/>
        <v>T_05</v>
      </c>
      <c r="J34" s="69">
        <f t="shared" ref="J34:J36" si="37">J33</f>
        <v>2</v>
      </c>
      <c r="K34" s="70">
        <f t="shared" si="34"/>
        <v>43834</v>
      </c>
      <c r="L34">
        <v>43437</v>
      </c>
      <c r="M34">
        <v>43437</v>
      </c>
      <c r="N34"/>
      <c r="O34"/>
      <c r="P34" s="124">
        <v>8</v>
      </c>
      <c r="Q34" s="124" t="str">
        <f t="shared" ca="1" si="35"/>
        <v>Dragør</v>
      </c>
      <c r="R34" s="124" t="str">
        <f t="shared" ca="1" si="29"/>
        <v>Ejby</v>
      </c>
      <c r="S34" s="135"/>
      <c r="T34" s="125" t="str">
        <f>IFERROR(T33+mMin,"-")</f>
        <v>-</v>
      </c>
      <c r="U34" s="149"/>
      <c r="V34" s="150"/>
      <c r="W34" s="151"/>
      <c r="X34" s="126" t="str">
        <f t="shared" si="30"/>
        <v>-</v>
      </c>
      <c r="Y34" s="126" t="str">
        <f t="shared" si="31"/>
        <v>-</v>
      </c>
    </row>
    <row r="35" spans="3:25" ht="17.399999999999999" x14ac:dyDescent="0.35">
      <c r="C35" s="63" t="s">
        <v>86</v>
      </c>
      <c r="D35" s="62">
        <f t="shared" si="32"/>
        <v>0</v>
      </c>
      <c r="E35" s="63">
        <v>9</v>
      </c>
      <c r="F35" s="51">
        <f t="shared" si="26"/>
        <v>9</v>
      </c>
      <c r="G35" s="51">
        <f t="shared" si="33"/>
        <v>2</v>
      </c>
      <c r="H35" s="64" t="str">
        <f t="shared" si="27"/>
        <v>T_01</v>
      </c>
      <c r="I35" s="64" t="str">
        <f t="shared" si="28"/>
        <v>T_08</v>
      </c>
      <c r="J35" s="64">
        <f t="shared" si="37"/>
        <v>2</v>
      </c>
      <c r="K35" s="65">
        <f t="shared" si="34"/>
        <v>43834</v>
      </c>
      <c r="L35">
        <v>43437</v>
      </c>
      <c r="M35">
        <v>43437</v>
      </c>
      <c r="N35"/>
      <c r="O35"/>
      <c r="P35" s="122">
        <v>9</v>
      </c>
      <c r="Q35" s="122" t="str">
        <f t="shared" ca="1" si="35"/>
        <v>Assens</v>
      </c>
      <c r="R35" s="122" t="str">
        <f t="shared" ca="1" si="29"/>
        <v>Holeby</v>
      </c>
      <c r="S35" s="141"/>
      <c r="T35" s="142" t="s">
        <v>33</v>
      </c>
      <c r="U35" s="152"/>
      <c r="V35" s="153"/>
      <c r="W35" s="154"/>
      <c r="X35" s="121" t="str">
        <f t="shared" si="30"/>
        <v>-</v>
      </c>
      <c r="Y35" s="121" t="str">
        <f t="shared" si="31"/>
        <v>-</v>
      </c>
    </row>
    <row r="36" spans="3:25" ht="17.399999999999999" x14ac:dyDescent="0.35">
      <c r="C36" s="56" t="s">
        <v>87</v>
      </c>
      <c r="D36" s="57">
        <f t="shared" si="32"/>
        <v>0</v>
      </c>
      <c r="E36" s="56">
        <v>10</v>
      </c>
      <c r="F36" s="58">
        <f t="shared" si="26"/>
        <v>8</v>
      </c>
      <c r="G36" s="58">
        <f t="shared" si="33"/>
        <v>10</v>
      </c>
      <c r="H36" s="59" t="str">
        <f t="shared" si="27"/>
        <v>T_09</v>
      </c>
      <c r="I36" s="59" t="str">
        <f t="shared" si="28"/>
        <v>T_07</v>
      </c>
      <c r="J36" s="59">
        <f t="shared" si="37"/>
        <v>2</v>
      </c>
      <c r="K36" s="60">
        <f t="shared" si="34"/>
        <v>43834</v>
      </c>
      <c r="L36">
        <v>43437</v>
      </c>
      <c r="M36">
        <v>43437</v>
      </c>
      <c r="N36"/>
      <c r="O36"/>
      <c r="P36" s="122">
        <v>10</v>
      </c>
      <c r="Q36" s="122" t="str">
        <f t="shared" ca="1" si="35"/>
        <v>Indre By</v>
      </c>
      <c r="R36" s="122" t="str">
        <f t="shared" ca="1" si="29"/>
        <v>Glamsbjerg</v>
      </c>
      <c r="S36" s="134"/>
      <c r="T36" s="123" t="str">
        <f>IFERROR(T35+mMin,"-")</f>
        <v>-</v>
      </c>
      <c r="U36" s="146"/>
      <c r="V36" s="147"/>
      <c r="W36" s="148"/>
      <c r="X36" s="121" t="str">
        <f t="shared" si="30"/>
        <v>-</v>
      </c>
      <c r="Y36" s="121" t="str">
        <f t="shared" si="31"/>
        <v>-</v>
      </c>
    </row>
    <row r="37" spans="3:25" ht="17.399999999999999" x14ac:dyDescent="0.35">
      <c r="C37" s="56" t="s">
        <v>89</v>
      </c>
      <c r="D37" s="57">
        <f t="shared" si="32"/>
        <v>0</v>
      </c>
      <c r="E37" s="56">
        <v>11</v>
      </c>
      <c r="F37" s="58">
        <f t="shared" si="26"/>
        <v>6</v>
      </c>
      <c r="G37" s="58">
        <f t="shared" si="33"/>
        <v>3</v>
      </c>
      <c r="H37" s="59" t="str">
        <f t="shared" si="27"/>
        <v>T_02</v>
      </c>
      <c r="I37" s="59" t="str">
        <f t="shared" si="28"/>
        <v>T_05</v>
      </c>
      <c r="J37" s="59">
        <f>J32+1</f>
        <v>3</v>
      </c>
      <c r="K37" s="60">
        <f t="shared" si="34"/>
        <v>43835</v>
      </c>
      <c r="L37">
        <v>43437</v>
      </c>
      <c r="M37">
        <v>43437</v>
      </c>
      <c r="N37"/>
      <c r="O37"/>
      <c r="P37" s="122">
        <v>11</v>
      </c>
      <c r="Q37" s="122" t="str">
        <f t="shared" ca="1" si="35"/>
        <v>Bogense</v>
      </c>
      <c r="R37" s="122" t="str">
        <f t="shared" ca="1" si="29"/>
        <v>Ejby</v>
      </c>
      <c r="S37" s="134"/>
      <c r="T37" s="123" t="str">
        <f>IFERROR(T36+mMin,"-")</f>
        <v>-</v>
      </c>
      <c r="U37" s="146"/>
      <c r="V37" s="147"/>
      <c r="W37" s="148"/>
      <c r="X37" s="121" t="str">
        <f t="shared" si="30"/>
        <v>-</v>
      </c>
      <c r="Y37" s="121" t="str">
        <f t="shared" si="31"/>
        <v>-</v>
      </c>
    </row>
    <row r="38" spans="3:25" ht="18" thickBot="1" x14ac:dyDescent="0.4">
      <c r="C38" s="67" t="s">
        <v>90</v>
      </c>
      <c r="D38" s="66">
        <f t="shared" si="32"/>
        <v>0</v>
      </c>
      <c r="E38" s="67">
        <v>12</v>
      </c>
      <c r="F38" s="68">
        <f t="shared" si="26"/>
        <v>5</v>
      </c>
      <c r="G38" s="68">
        <f t="shared" si="33"/>
        <v>4</v>
      </c>
      <c r="H38" s="69" t="str">
        <f t="shared" si="27"/>
        <v>T_03</v>
      </c>
      <c r="I38" s="69" t="str">
        <f t="shared" si="28"/>
        <v>T_04</v>
      </c>
      <c r="J38" s="69">
        <f>J37</f>
        <v>3</v>
      </c>
      <c r="K38" s="70">
        <f t="shared" si="34"/>
        <v>43835</v>
      </c>
      <c r="L38">
        <v>43437</v>
      </c>
      <c r="M38">
        <v>43437</v>
      </c>
      <c r="N38"/>
      <c r="O38"/>
      <c r="P38" s="124">
        <v>12</v>
      </c>
      <c r="Q38" s="124" t="str">
        <f t="shared" ca="1" si="35"/>
        <v>Christiansfelt</v>
      </c>
      <c r="R38" s="124" t="str">
        <f t="shared" ca="1" si="29"/>
        <v>Dragør</v>
      </c>
      <c r="S38" s="135"/>
      <c r="T38" s="125" t="str">
        <f>IFERROR(T37+mMin,"-")</f>
        <v>-</v>
      </c>
      <c r="U38" s="149"/>
      <c r="V38" s="150"/>
      <c r="W38" s="151"/>
      <c r="X38" s="126" t="str">
        <f t="shared" si="30"/>
        <v>-</v>
      </c>
      <c r="Y38" s="126" t="str">
        <f t="shared" si="31"/>
        <v>-</v>
      </c>
    </row>
    <row r="39" spans="3:25" ht="17.399999999999999" x14ac:dyDescent="0.35">
      <c r="C39" s="63" t="s">
        <v>91</v>
      </c>
      <c r="D39" s="62">
        <f t="shared" si="32"/>
        <v>0</v>
      </c>
      <c r="E39" s="63">
        <v>13</v>
      </c>
      <c r="F39" s="51">
        <f t="shared" si="26"/>
        <v>2</v>
      </c>
      <c r="G39" s="51">
        <f t="shared" si="33"/>
        <v>8</v>
      </c>
      <c r="H39" s="64" t="str">
        <f t="shared" si="27"/>
        <v>T_07</v>
      </c>
      <c r="I39" s="64" t="str">
        <f t="shared" si="28"/>
        <v>T_01</v>
      </c>
      <c r="J39" s="64">
        <f t="shared" ref="J39:J41" si="38">J38</f>
        <v>3</v>
      </c>
      <c r="K39" s="65">
        <f t="shared" si="34"/>
        <v>43835</v>
      </c>
      <c r="L39">
        <v>43437</v>
      </c>
      <c r="M39">
        <v>43437</v>
      </c>
      <c r="N39"/>
      <c r="O39"/>
      <c r="P39" s="122">
        <v>13</v>
      </c>
      <c r="Q39" s="122" t="str">
        <f t="shared" ca="1" si="35"/>
        <v>Glamsbjerg</v>
      </c>
      <c r="R39" s="122" t="str">
        <f t="shared" ca="1" si="29"/>
        <v>Assens</v>
      </c>
      <c r="S39" s="141"/>
      <c r="T39" s="142" t="s">
        <v>33</v>
      </c>
      <c r="U39" s="152"/>
      <c r="V39" s="153"/>
      <c r="W39" s="154"/>
      <c r="X39" s="121" t="str">
        <f t="shared" si="30"/>
        <v>-</v>
      </c>
      <c r="Y39" s="121" t="str">
        <f t="shared" si="31"/>
        <v>-</v>
      </c>
    </row>
    <row r="40" spans="3:25" ht="17.399999999999999" x14ac:dyDescent="0.35">
      <c r="C40" s="56" t="s">
        <v>92</v>
      </c>
      <c r="D40" s="57">
        <f t="shared" si="32"/>
        <v>0</v>
      </c>
      <c r="E40" s="56">
        <v>14</v>
      </c>
      <c r="F40" s="58">
        <f t="shared" si="26"/>
        <v>7</v>
      </c>
      <c r="G40" s="58">
        <f t="shared" si="33"/>
        <v>9</v>
      </c>
      <c r="H40" s="59" t="str">
        <f t="shared" si="27"/>
        <v>T_08</v>
      </c>
      <c r="I40" s="59" t="str">
        <f t="shared" si="28"/>
        <v>T_06</v>
      </c>
      <c r="J40" s="59">
        <f t="shared" si="38"/>
        <v>3</v>
      </c>
      <c r="K40" s="60">
        <f t="shared" si="34"/>
        <v>43835</v>
      </c>
      <c r="L40">
        <v>43437</v>
      </c>
      <c r="M40">
        <v>43437</v>
      </c>
      <c r="N40"/>
      <c r="O40"/>
      <c r="P40" s="122">
        <v>14</v>
      </c>
      <c r="Q40" s="122" t="str">
        <f t="shared" ca="1" si="35"/>
        <v>Holeby</v>
      </c>
      <c r="R40" s="122" t="str">
        <f t="shared" ca="1" si="29"/>
        <v>Fjerritslev</v>
      </c>
      <c r="S40" s="134"/>
      <c r="T40" s="123" t="str">
        <f>IFERROR(T39+mMin,"-")</f>
        <v>-</v>
      </c>
      <c r="U40" s="146"/>
      <c r="V40" s="147"/>
      <c r="W40" s="148"/>
      <c r="X40" s="121" t="str">
        <f t="shared" si="30"/>
        <v>-</v>
      </c>
      <c r="Y40" s="121" t="str">
        <f t="shared" si="31"/>
        <v>-</v>
      </c>
    </row>
    <row r="41" spans="3:25" ht="17.399999999999999" x14ac:dyDescent="0.35">
      <c r="C41" s="56" t="s">
        <v>93</v>
      </c>
      <c r="D41" s="57">
        <f t="shared" si="32"/>
        <v>0</v>
      </c>
      <c r="E41" s="56">
        <v>15</v>
      </c>
      <c r="F41" s="58">
        <f t="shared" si="26"/>
        <v>6</v>
      </c>
      <c r="G41" s="58">
        <f t="shared" si="33"/>
        <v>10</v>
      </c>
      <c r="H41" s="59" t="str">
        <f t="shared" si="27"/>
        <v>T_09</v>
      </c>
      <c r="I41" s="59" t="str">
        <f t="shared" si="28"/>
        <v>T_05</v>
      </c>
      <c r="J41" s="59">
        <f t="shared" si="38"/>
        <v>3</v>
      </c>
      <c r="K41" s="60">
        <f t="shared" si="34"/>
        <v>43835</v>
      </c>
      <c r="L41">
        <v>43437</v>
      </c>
      <c r="M41">
        <v>43437</v>
      </c>
      <c r="N41"/>
      <c r="O41"/>
      <c r="P41" s="122">
        <v>15</v>
      </c>
      <c r="Q41" s="122" t="str">
        <f t="shared" ca="1" si="35"/>
        <v>Indre By</v>
      </c>
      <c r="R41" s="122" t="str">
        <f t="shared" ca="1" si="29"/>
        <v>Ejby</v>
      </c>
      <c r="S41" s="134"/>
      <c r="T41" s="123" t="str">
        <f>IFERROR(T40+mMin,"-")</f>
        <v>-</v>
      </c>
      <c r="U41" s="146"/>
      <c r="V41" s="147"/>
      <c r="W41" s="148"/>
      <c r="X41" s="121" t="str">
        <f t="shared" si="30"/>
        <v>-</v>
      </c>
      <c r="Y41" s="121" t="str">
        <f t="shared" si="31"/>
        <v>-</v>
      </c>
    </row>
    <row r="42" spans="3:25" ht="18" thickBot="1" x14ac:dyDescent="0.4">
      <c r="C42" s="67" t="s">
        <v>95</v>
      </c>
      <c r="D42" s="66">
        <f t="shared" si="32"/>
        <v>0</v>
      </c>
      <c r="E42" s="67">
        <v>16</v>
      </c>
      <c r="F42" s="68">
        <f t="shared" si="26"/>
        <v>4</v>
      </c>
      <c r="G42" s="68">
        <f t="shared" si="33"/>
        <v>3</v>
      </c>
      <c r="H42" s="69" t="str">
        <f t="shared" si="27"/>
        <v>T_02</v>
      </c>
      <c r="I42" s="69" t="str">
        <f t="shared" si="28"/>
        <v>T_03</v>
      </c>
      <c r="J42" s="69">
        <f t="shared" ref="J42" si="39">J37+1</f>
        <v>4</v>
      </c>
      <c r="K42" s="70">
        <f t="shared" si="34"/>
        <v>43836</v>
      </c>
      <c r="L42">
        <v>43437</v>
      </c>
      <c r="M42">
        <v>43437</v>
      </c>
      <c r="N42"/>
      <c r="O42"/>
      <c r="P42" s="124">
        <v>16</v>
      </c>
      <c r="Q42" s="124" t="str">
        <f t="shared" ca="1" si="35"/>
        <v>Bogense</v>
      </c>
      <c r="R42" s="124" t="str">
        <f t="shared" ca="1" si="29"/>
        <v>Christiansfelt</v>
      </c>
      <c r="S42" s="135"/>
      <c r="T42" s="125" t="str">
        <f>IFERROR(T41+mMin,"-")</f>
        <v>-</v>
      </c>
      <c r="U42" s="149"/>
      <c r="V42" s="150"/>
      <c r="W42" s="151"/>
      <c r="X42" s="126" t="str">
        <f t="shared" si="30"/>
        <v>-</v>
      </c>
      <c r="Y42" s="126" t="str">
        <f t="shared" si="31"/>
        <v>-</v>
      </c>
    </row>
    <row r="43" spans="3:25" ht="17.399999999999999" x14ac:dyDescent="0.35">
      <c r="C43" s="63" t="s">
        <v>96</v>
      </c>
      <c r="D43" s="62">
        <f t="shared" si="32"/>
        <v>0</v>
      </c>
      <c r="E43" s="63">
        <v>17</v>
      </c>
      <c r="F43" s="51">
        <f t="shared" si="26"/>
        <v>7</v>
      </c>
      <c r="G43" s="51">
        <f t="shared" si="33"/>
        <v>2</v>
      </c>
      <c r="H43" s="64" t="str">
        <f t="shared" si="27"/>
        <v>T_01</v>
      </c>
      <c r="I43" s="64" t="str">
        <f t="shared" si="28"/>
        <v>T_06</v>
      </c>
      <c r="J43" s="64">
        <f t="shared" ref="J43:J61" si="40">J42</f>
        <v>4</v>
      </c>
      <c r="K43" s="65">
        <f t="shared" si="34"/>
        <v>43836</v>
      </c>
      <c r="L43">
        <v>43437</v>
      </c>
      <c r="M43">
        <v>43437</v>
      </c>
      <c r="N43"/>
      <c r="O43"/>
      <c r="P43" s="122">
        <v>17</v>
      </c>
      <c r="Q43" s="122" t="str">
        <f t="shared" ca="1" si="35"/>
        <v>Assens</v>
      </c>
      <c r="R43" s="122" t="str">
        <f t="shared" ca="1" si="29"/>
        <v>Fjerritslev</v>
      </c>
      <c r="S43" s="141"/>
      <c r="T43" s="142" t="s">
        <v>33</v>
      </c>
      <c r="U43" s="152"/>
      <c r="V43" s="153"/>
      <c r="W43" s="154"/>
      <c r="X43" s="121" t="str">
        <f t="shared" si="30"/>
        <v>-</v>
      </c>
      <c r="Y43" s="121" t="str">
        <f t="shared" si="31"/>
        <v>-</v>
      </c>
    </row>
    <row r="44" spans="3:25" ht="17.399999999999999" x14ac:dyDescent="0.35">
      <c r="C44" s="56" t="s">
        <v>97</v>
      </c>
      <c r="D44" s="57">
        <f t="shared" si="32"/>
        <v>0</v>
      </c>
      <c r="E44" s="56">
        <v>18</v>
      </c>
      <c r="F44" s="58">
        <f t="shared" si="26"/>
        <v>6</v>
      </c>
      <c r="G44" s="58">
        <f t="shared" si="33"/>
        <v>8</v>
      </c>
      <c r="H44" s="59" t="str">
        <f t="shared" si="27"/>
        <v>T_07</v>
      </c>
      <c r="I44" s="59" t="str">
        <f t="shared" si="28"/>
        <v>T_05</v>
      </c>
      <c r="J44" s="59">
        <f t="shared" si="40"/>
        <v>4</v>
      </c>
      <c r="K44" s="60">
        <f t="shared" si="34"/>
        <v>43836</v>
      </c>
      <c r="L44">
        <v>43437</v>
      </c>
      <c r="M44">
        <v>43437</v>
      </c>
      <c r="N44"/>
      <c r="O44"/>
      <c r="P44" s="122">
        <v>18</v>
      </c>
      <c r="Q44" s="122" t="str">
        <f t="shared" ca="1" si="35"/>
        <v>Glamsbjerg</v>
      </c>
      <c r="R44" s="122" t="str">
        <f t="shared" ca="1" si="29"/>
        <v>Ejby</v>
      </c>
      <c r="S44" s="134"/>
      <c r="T44" s="123" t="str">
        <f>IFERROR(T43+mMin,"-")</f>
        <v>-</v>
      </c>
      <c r="U44" s="146"/>
      <c r="V44" s="147"/>
      <c r="W44" s="148"/>
      <c r="X44" s="121" t="str">
        <f t="shared" si="30"/>
        <v>-</v>
      </c>
      <c r="Y44" s="121" t="str">
        <f t="shared" si="31"/>
        <v>-</v>
      </c>
    </row>
    <row r="45" spans="3:25" ht="17.399999999999999" x14ac:dyDescent="0.35">
      <c r="C45" s="56" t="s">
        <v>98</v>
      </c>
      <c r="D45" s="57">
        <f t="shared" si="32"/>
        <v>0</v>
      </c>
      <c r="E45" s="56">
        <v>19</v>
      </c>
      <c r="F45" s="58">
        <f t="shared" si="26"/>
        <v>5</v>
      </c>
      <c r="G45" s="58">
        <f t="shared" si="33"/>
        <v>9</v>
      </c>
      <c r="H45" s="59" t="str">
        <f t="shared" si="27"/>
        <v>T_08</v>
      </c>
      <c r="I45" s="59" t="str">
        <f t="shared" si="28"/>
        <v>T_04</v>
      </c>
      <c r="J45" s="59">
        <f t="shared" si="40"/>
        <v>4</v>
      </c>
      <c r="K45" s="60">
        <f t="shared" si="34"/>
        <v>43836</v>
      </c>
      <c r="L45">
        <v>43437</v>
      </c>
      <c r="M45">
        <v>43437</v>
      </c>
      <c r="N45"/>
      <c r="O45"/>
      <c r="P45" s="122">
        <v>19</v>
      </c>
      <c r="Q45" s="122" t="str">
        <f t="shared" ca="1" si="35"/>
        <v>Holeby</v>
      </c>
      <c r="R45" s="122" t="str">
        <f t="shared" ca="1" si="29"/>
        <v>Dragør</v>
      </c>
      <c r="S45" s="134"/>
      <c r="T45" s="123" t="str">
        <f>IFERROR(T44+mMin,"-")</f>
        <v>-</v>
      </c>
      <c r="U45" s="146"/>
      <c r="V45" s="147"/>
      <c r="W45" s="148"/>
      <c r="X45" s="121" t="str">
        <f t="shared" si="30"/>
        <v>-</v>
      </c>
      <c r="Y45" s="121" t="str">
        <f t="shared" si="31"/>
        <v>-</v>
      </c>
    </row>
    <row r="46" spans="3:25" ht="18" thickBot="1" x14ac:dyDescent="0.4">
      <c r="C46" s="67" t="s">
        <v>99</v>
      </c>
      <c r="D46" s="66">
        <f t="shared" si="32"/>
        <v>0</v>
      </c>
      <c r="E46" s="67">
        <v>20</v>
      </c>
      <c r="F46" s="68">
        <f t="shared" si="26"/>
        <v>4</v>
      </c>
      <c r="G46" s="68">
        <f t="shared" si="33"/>
        <v>10</v>
      </c>
      <c r="H46" s="69" t="str">
        <f t="shared" si="27"/>
        <v>T_09</v>
      </c>
      <c r="I46" s="69" t="str">
        <f t="shared" si="28"/>
        <v>T_03</v>
      </c>
      <c r="J46" s="69">
        <f t="shared" si="40"/>
        <v>4</v>
      </c>
      <c r="K46" s="70">
        <f t="shared" si="34"/>
        <v>43836</v>
      </c>
      <c r="L46">
        <v>43437</v>
      </c>
      <c r="M46">
        <v>43437</v>
      </c>
      <c r="N46"/>
      <c r="O46"/>
      <c r="P46" s="124">
        <v>20</v>
      </c>
      <c r="Q46" s="124" t="str">
        <f t="shared" ca="1" si="35"/>
        <v>Indre By</v>
      </c>
      <c r="R46" s="124" t="str">
        <f t="shared" ca="1" si="29"/>
        <v>Christiansfelt</v>
      </c>
      <c r="S46" s="135"/>
      <c r="T46" s="125" t="str">
        <f>IFERROR(T45+mMin,"-")</f>
        <v>-</v>
      </c>
      <c r="U46" s="149"/>
      <c r="V46" s="150"/>
      <c r="W46" s="151"/>
      <c r="X46" s="126" t="str">
        <f t="shared" si="30"/>
        <v>-</v>
      </c>
      <c r="Y46" s="126" t="str">
        <f t="shared" si="31"/>
        <v>-</v>
      </c>
    </row>
    <row r="47" spans="3:25" ht="17.399999999999999" x14ac:dyDescent="0.35">
      <c r="C47" s="63" t="s">
        <v>101</v>
      </c>
      <c r="D47" s="62">
        <f t="shared" si="32"/>
        <v>0</v>
      </c>
      <c r="E47" s="63">
        <v>21</v>
      </c>
      <c r="F47" s="51">
        <f t="shared" si="26"/>
        <v>2</v>
      </c>
      <c r="G47" s="51">
        <f t="shared" si="33"/>
        <v>6</v>
      </c>
      <c r="H47" s="64" t="str">
        <f t="shared" si="27"/>
        <v>T_05</v>
      </c>
      <c r="I47" s="64" t="str">
        <f t="shared" si="28"/>
        <v>T_01</v>
      </c>
      <c r="J47" s="64">
        <f t="shared" ref="J47" si="41">J42+1</f>
        <v>5</v>
      </c>
      <c r="K47" s="65">
        <f t="shared" si="34"/>
        <v>43837</v>
      </c>
      <c r="L47">
        <v>43437</v>
      </c>
      <c r="M47">
        <v>43437</v>
      </c>
      <c r="N47"/>
      <c r="O47"/>
      <c r="P47" s="122">
        <v>21</v>
      </c>
      <c r="Q47" s="122" t="str">
        <f t="shared" ca="1" si="35"/>
        <v>Ejby</v>
      </c>
      <c r="R47" s="122" t="str">
        <f t="shared" ca="1" si="29"/>
        <v>Assens</v>
      </c>
      <c r="S47" s="141"/>
      <c r="T47" s="142" t="s">
        <v>33</v>
      </c>
      <c r="U47" s="152"/>
      <c r="V47" s="153"/>
      <c r="W47" s="154"/>
      <c r="X47" s="121" t="str">
        <f t="shared" si="30"/>
        <v>-</v>
      </c>
      <c r="Y47" s="121" t="str">
        <f t="shared" si="31"/>
        <v>-</v>
      </c>
    </row>
    <row r="48" spans="3:25" ht="17.399999999999999" x14ac:dyDescent="0.35">
      <c r="C48" s="56" t="s">
        <v>102</v>
      </c>
      <c r="D48" s="57">
        <f t="shared" si="32"/>
        <v>0</v>
      </c>
      <c r="E48" s="56">
        <v>22</v>
      </c>
      <c r="F48" s="58">
        <f t="shared" si="26"/>
        <v>5</v>
      </c>
      <c r="G48" s="58">
        <f t="shared" si="33"/>
        <v>7</v>
      </c>
      <c r="H48" s="59" t="str">
        <f t="shared" si="27"/>
        <v>T_06</v>
      </c>
      <c r="I48" s="59" t="str">
        <f t="shared" si="28"/>
        <v>T_04</v>
      </c>
      <c r="J48" s="59">
        <f t="shared" ref="J48" si="42">J47</f>
        <v>5</v>
      </c>
      <c r="K48" s="60">
        <f t="shared" si="34"/>
        <v>43837</v>
      </c>
      <c r="L48">
        <v>43437</v>
      </c>
      <c r="M48">
        <v>43437</v>
      </c>
      <c r="N48"/>
      <c r="O48"/>
      <c r="P48" s="122">
        <v>22</v>
      </c>
      <c r="Q48" s="122" t="str">
        <f t="shared" ca="1" si="35"/>
        <v>Fjerritslev</v>
      </c>
      <c r="R48" s="122" t="str">
        <f t="shared" ca="1" si="29"/>
        <v>Dragør</v>
      </c>
      <c r="S48" s="134"/>
      <c r="T48" s="123" t="str">
        <f>IFERROR(T47+mMin,"-")</f>
        <v>-</v>
      </c>
      <c r="U48" s="146"/>
      <c r="V48" s="147"/>
      <c r="W48" s="148"/>
      <c r="X48" s="121" t="str">
        <f t="shared" si="30"/>
        <v>-</v>
      </c>
      <c r="Y48" s="121" t="str">
        <f t="shared" si="31"/>
        <v>-</v>
      </c>
    </row>
    <row r="49" spans="3:25" ht="17.399999999999999" x14ac:dyDescent="0.35">
      <c r="C49" s="56" t="s">
        <v>103</v>
      </c>
      <c r="D49" s="57">
        <f t="shared" si="32"/>
        <v>0</v>
      </c>
      <c r="E49" s="56">
        <v>23</v>
      </c>
      <c r="F49" s="58">
        <f t="shared" si="26"/>
        <v>4</v>
      </c>
      <c r="G49" s="58">
        <f t="shared" si="33"/>
        <v>8</v>
      </c>
      <c r="H49" s="59" t="str">
        <f t="shared" si="27"/>
        <v>T_07</v>
      </c>
      <c r="I49" s="59" t="str">
        <f t="shared" si="28"/>
        <v>T_03</v>
      </c>
      <c r="J49" s="59">
        <f t="shared" si="40"/>
        <v>5</v>
      </c>
      <c r="K49" s="60">
        <f t="shared" si="34"/>
        <v>43837</v>
      </c>
      <c r="L49">
        <v>43437</v>
      </c>
      <c r="M49">
        <v>43437</v>
      </c>
      <c r="N49"/>
      <c r="O49"/>
      <c r="P49" s="122">
        <v>23</v>
      </c>
      <c r="Q49" s="122" t="str">
        <f t="shared" ca="1" si="35"/>
        <v>Glamsbjerg</v>
      </c>
      <c r="R49" s="122" t="str">
        <f t="shared" ca="1" si="29"/>
        <v>Christiansfelt</v>
      </c>
      <c r="S49" s="134"/>
      <c r="T49" s="123" t="str">
        <f>IFERROR(T48+mMin,"-")</f>
        <v>-</v>
      </c>
      <c r="U49" s="146"/>
      <c r="V49" s="147"/>
      <c r="W49" s="148"/>
      <c r="X49" s="121" t="str">
        <f t="shared" si="30"/>
        <v>-</v>
      </c>
      <c r="Y49" s="121" t="str">
        <f t="shared" si="31"/>
        <v>-</v>
      </c>
    </row>
    <row r="50" spans="3:25" ht="18" thickBot="1" x14ac:dyDescent="0.4">
      <c r="C50" s="67" t="s">
        <v>104</v>
      </c>
      <c r="D50" s="66">
        <f t="shared" si="32"/>
        <v>0</v>
      </c>
      <c r="E50" s="67">
        <v>24</v>
      </c>
      <c r="F50" s="68">
        <f t="shared" si="26"/>
        <v>3</v>
      </c>
      <c r="G50" s="68">
        <f t="shared" si="33"/>
        <v>9</v>
      </c>
      <c r="H50" s="69" t="str">
        <f t="shared" si="27"/>
        <v>T_08</v>
      </c>
      <c r="I50" s="69" t="str">
        <f t="shared" si="28"/>
        <v>T_02</v>
      </c>
      <c r="J50" s="69">
        <f t="shared" si="40"/>
        <v>5</v>
      </c>
      <c r="K50" s="70">
        <f t="shared" si="34"/>
        <v>43837</v>
      </c>
      <c r="L50">
        <v>43437</v>
      </c>
      <c r="M50">
        <v>43437</v>
      </c>
      <c r="N50"/>
      <c r="O50"/>
      <c r="P50" s="124">
        <v>24</v>
      </c>
      <c r="Q50" s="124" t="str">
        <f t="shared" ca="1" si="35"/>
        <v>Holeby</v>
      </c>
      <c r="R50" s="124" t="str">
        <f t="shared" ca="1" si="29"/>
        <v>Bogense</v>
      </c>
      <c r="S50" s="135"/>
      <c r="T50" s="125" t="str">
        <f>IFERROR(T49+mMin,"-")</f>
        <v>-</v>
      </c>
      <c r="U50" s="149"/>
      <c r="V50" s="150"/>
      <c r="W50" s="151"/>
      <c r="X50" s="126" t="str">
        <f t="shared" si="30"/>
        <v>-</v>
      </c>
      <c r="Y50" s="126" t="str">
        <f t="shared" si="31"/>
        <v>-</v>
      </c>
    </row>
    <row r="51" spans="3:25" ht="17.399999999999999" x14ac:dyDescent="0.35">
      <c r="C51" s="63" t="s">
        <v>106</v>
      </c>
      <c r="D51" s="62">
        <f t="shared" si="32"/>
        <v>0</v>
      </c>
      <c r="E51" s="63">
        <v>25</v>
      </c>
      <c r="F51" s="51">
        <f t="shared" si="26"/>
        <v>5</v>
      </c>
      <c r="G51" s="51">
        <f t="shared" si="33"/>
        <v>2</v>
      </c>
      <c r="H51" s="64" t="str">
        <f t="shared" si="27"/>
        <v>T_01</v>
      </c>
      <c r="I51" s="64" t="str">
        <f t="shared" si="28"/>
        <v>T_04</v>
      </c>
      <c r="J51" s="64">
        <f t="shared" si="40"/>
        <v>5</v>
      </c>
      <c r="K51" s="65">
        <f t="shared" si="34"/>
        <v>43837</v>
      </c>
      <c r="L51">
        <v>43437</v>
      </c>
      <c r="M51">
        <v>43437</v>
      </c>
      <c r="N51"/>
      <c r="O51"/>
      <c r="P51" s="122">
        <v>25</v>
      </c>
      <c r="Q51" s="122" t="str">
        <f t="shared" ca="1" si="35"/>
        <v>Assens</v>
      </c>
      <c r="R51" s="122" t="str">
        <f t="shared" ca="1" si="29"/>
        <v>Dragør</v>
      </c>
      <c r="S51" s="141"/>
      <c r="T51" s="142" t="s">
        <v>33</v>
      </c>
      <c r="U51" s="152"/>
      <c r="V51" s="153"/>
      <c r="W51" s="154"/>
      <c r="X51" s="121" t="str">
        <f t="shared" si="30"/>
        <v>-</v>
      </c>
      <c r="Y51" s="121" t="str">
        <f t="shared" si="31"/>
        <v>-</v>
      </c>
    </row>
    <row r="52" spans="3:25" ht="17.399999999999999" x14ac:dyDescent="0.35">
      <c r="C52" s="56" t="s">
        <v>107</v>
      </c>
      <c r="D52" s="57">
        <f t="shared" si="32"/>
        <v>0</v>
      </c>
      <c r="E52" s="56">
        <v>26</v>
      </c>
      <c r="F52" s="58">
        <f t="shared" si="26"/>
        <v>4</v>
      </c>
      <c r="G52" s="58">
        <f t="shared" si="33"/>
        <v>6</v>
      </c>
      <c r="H52" s="59" t="str">
        <f t="shared" si="27"/>
        <v>T_05</v>
      </c>
      <c r="I52" s="59" t="str">
        <f t="shared" si="28"/>
        <v>T_03</v>
      </c>
      <c r="J52" s="59">
        <f t="shared" ref="J52" si="43">J47+1</f>
        <v>6</v>
      </c>
      <c r="K52" s="60">
        <f t="shared" si="34"/>
        <v>43838</v>
      </c>
      <c r="L52">
        <v>43437</v>
      </c>
      <c r="M52">
        <v>43437</v>
      </c>
      <c r="N52"/>
      <c r="O52"/>
      <c r="P52" s="122">
        <v>26</v>
      </c>
      <c r="Q52" s="122" t="str">
        <f t="shared" ca="1" si="35"/>
        <v>Ejby</v>
      </c>
      <c r="R52" s="122" t="str">
        <f t="shared" ca="1" si="29"/>
        <v>Christiansfelt</v>
      </c>
      <c r="S52" s="134"/>
      <c r="T52" s="123" t="str">
        <f>IFERROR(T51+mMin,"-")</f>
        <v>-</v>
      </c>
      <c r="U52" s="146"/>
      <c r="V52" s="147"/>
      <c r="W52" s="148"/>
      <c r="X52" s="121" t="str">
        <f t="shared" si="30"/>
        <v>-</v>
      </c>
      <c r="Y52" s="121" t="str">
        <f t="shared" si="31"/>
        <v>-</v>
      </c>
    </row>
    <row r="53" spans="3:25" ht="17.399999999999999" x14ac:dyDescent="0.35">
      <c r="C53" s="56" t="s">
        <v>108</v>
      </c>
      <c r="D53" s="57">
        <f t="shared" si="32"/>
        <v>0</v>
      </c>
      <c r="E53" s="56">
        <v>27</v>
      </c>
      <c r="F53" s="58">
        <f t="shared" si="26"/>
        <v>3</v>
      </c>
      <c r="G53" s="58">
        <f t="shared" si="33"/>
        <v>7</v>
      </c>
      <c r="H53" s="59" t="str">
        <f t="shared" si="27"/>
        <v>T_06</v>
      </c>
      <c r="I53" s="59" t="str">
        <f t="shared" si="28"/>
        <v>T_02</v>
      </c>
      <c r="J53" s="59">
        <f t="shared" ref="J53" si="44">J52</f>
        <v>6</v>
      </c>
      <c r="K53" s="60">
        <f t="shared" si="34"/>
        <v>43838</v>
      </c>
      <c r="L53">
        <v>43437</v>
      </c>
      <c r="M53">
        <v>43437</v>
      </c>
      <c r="N53"/>
      <c r="O53"/>
      <c r="P53" s="122">
        <v>27</v>
      </c>
      <c r="Q53" s="122" t="str">
        <f t="shared" ca="1" si="35"/>
        <v>Fjerritslev</v>
      </c>
      <c r="R53" s="122" t="str">
        <f t="shared" ca="1" si="29"/>
        <v>Bogense</v>
      </c>
      <c r="S53" s="134"/>
      <c r="T53" s="123" t="str">
        <f>IFERROR(T52+mMin,"-")</f>
        <v>-</v>
      </c>
      <c r="U53" s="146"/>
      <c r="V53" s="147"/>
      <c r="W53" s="148"/>
      <c r="X53" s="121" t="str">
        <f t="shared" si="30"/>
        <v>-</v>
      </c>
      <c r="Y53" s="121" t="str">
        <f t="shared" si="31"/>
        <v>-</v>
      </c>
    </row>
    <row r="54" spans="3:25" ht="18" thickBot="1" x14ac:dyDescent="0.4">
      <c r="C54" s="67" t="s">
        <v>110</v>
      </c>
      <c r="D54" s="66">
        <f t="shared" si="32"/>
        <v>0</v>
      </c>
      <c r="E54" s="67">
        <v>28</v>
      </c>
      <c r="F54" s="68">
        <f t="shared" si="26"/>
        <v>10</v>
      </c>
      <c r="G54" s="68">
        <f t="shared" si="33"/>
        <v>9</v>
      </c>
      <c r="H54" s="69" t="str">
        <f t="shared" si="27"/>
        <v>T_08</v>
      </c>
      <c r="I54" s="69" t="str">
        <f t="shared" si="28"/>
        <v>T_09</v>
      </c>
      <c r="J54" s="69">
        <f t="shared" si="40"/>
        <v>6</v>
      </c>
      <c r="K54" s="70">
        <f t="shared" si="34"/>
        <v>43838</v>
      </c>
      <c r="L54">
        <v>43437</v>
      </c>
      <c r="M54">
        <v>43437</v>
      </c>
      <c r="N54"/>
      <c r="O54"/>
      <c r="P54" s="124">
        <v>28</v>
      </c>
      <c r="Q54" s="124" t="str">
        <f t="shared" ca="1" si="35"/>
        <v>Holeby</v>
      </c>
      <c r="R54" s="124" t="str">
        <f t="shared" ca="1" si="29"/>
        <v>Indre By</v>
      </c>
      <c r="S54" s="135"/>
      <c r="T54" s="125" t="str">
        <f>IFERROR(T53+mMin,"-")</f>
        <v>-</v>
      </c>
      <c r="U54" s="149"/>
      <c r="V54" s="150"/>
      <c r="W54" s="151"/>
      <c r="X54" s="126" t="str">
        <f t="shared" si="30"/>
        <v>-</v>
      </c>
      <c r="Y54" s="126" t="str">
        <f t="shared" si="31"/>
        <v>-</v>
      </c>
    </row>
    <row r="55" spans="3:25" ht="17.399999999999999" x14ac:dyDescent="0.35">
      <c r="C55" s="63" t="s">
        <v>111</v>
      </c>
      <c r="D55" s="62">
        <f t="shared" si="32"/>
        <v>0</v>
      </c>
      <c r="E55" s="63">
        <v>29</v>
      </c>
      <c r="F55" s="51">
        <f t="shared" si="26"/>
        <v>2</v>
      </c>
      <c r="G55" s="51">
        <f t="shared" si="33"/>
        <v>4</v>
      </c>
      <c r="H55" s="64" t="str">
        <f t="shared" si="27"/>
        <v>T_03</v>
      </c>
      <c r="I55" s="64" t="str">
        <f t="shared" si="28"/>
        <v>T_01</v>
      </c>
      <c r="J55" s="64">
        <f t="shared" si="40"/>
        <v>6</v>
      </c>
      <c r="K55" s="65">
        <f t="shared" si="34"/>
        <v>43838</v>
      </c>
      <c r="L55">
        <v>43437</v>
      </c>
      <c r="M55">
        <v>43437</v>
      </c>
      <c r="N55"/>
      <c r="O55"/>
      <c r="P55" s="122">
        <v>29</v>
      </c>
      <c r="Q55" s="122" t="str">
        <f t="shared" ca="1" si="35"/>
        <v>Christiansfelt</v>
      </c>
      <c r="R55" s="122" t="str">
        <f t="shared" ca="1" si="29"/>
        <v>Assens</v>
      </c>
      <c r="S55" s="141"/>
      <c r="T55" s="142" t="s">
        <v>33</v>
      </c>
      <c r="U55" s="152"/>
      <c r="V55" s="153"/>
      <c r="W55" s="154"/>
      <c r="X55" s="121" t="str">
        <f t="shared" si="30"/>
        <v>-</v>
      </c>
      <c r="Y55" s="121" t="str">
        <f t="shared" si="31"/>
        <v>-</v>
      </c>
    </row>
    <row r="56" spans="3:25" ht="17.399999999999999" x14ac:dyDescent="0.35">
      <c r="C56" s="56" t="s">
        <v>112</v>
      </c>
      <c r="D56" s="57">
        <f t="shared" si="32"/>
        <v>0</v>
      </c>
      <c r="E56" s="56">
        <v>30</v>
      </c>
      <c r="F56" s="58">
        <f t="shared" si="26"/>
        <v>3</v>
      </c>
      <c r="G56" s="58">
        <f t="shared" si="33"/>
        <v>5</v>
      </c>
      <c r="H56" s="59" t="str">
        <f t="shared" si="27"/>
        <v>T_04</v>
      </c>
      <c r="I56" s="59" t="str">
        <f t="shared" si="28"/>
        <v>T_02</v>
      </c>
      <c r="J56" s="59">
        <f t="shared" si="40"/>
        <v>6</v>
      </c>
      <c r="K56" s="60">
        <f t="shared" si="34"/>
        <v>43838</v>
      </c>
      <c r="L56">
        <v>43437</v>
      </c>
      <c r="M56">
        <v>43437</v>
      </c>
      <c r="N56"/>
      <c r="O56"/>
      <c r="P56" s="122">
        <v>30</v>
      </c>
      <c r="Q56" s="122" t="str">
        <f t="shared" ca="1" si="35"/>
        <v>Dragør</v>
      </c>
      <c r="R56" s="122" t="str">
        <f t="shared" ca="1" si="29"/>
        <v>Bogense</v>
      </c>
      <c r="S56" s="134"/>
      <c r="T56" s="123" t="str">
        <f>IFERROR(T55+mMin,"-")</f>
        <v>-</v>
      </c>
      <c r="U56" s="146"/>
      <c r="V56" s="147"/>
      <c r="W56" s="148"/>
      <c r="X56" s="121" t="str">
        <f t="shared" si="30"/>
        <v>-</v>
      </c>
      <c r="Y56" s="121" t="str">
        <f t="shared" si="31"/>
        <v>-</v>
      </c>
    </row>
    <row r="57" spans="3:25" ht="17.399999999999999" x14ac:dyDescent="0.35">
      <c r="C57" s="56" t="s">
        <v>114</v>
      </c>
      <c r="D57" s="57">
        <f t="shared" si="32"/>
        <v>0</v>
      </c>
      <c r="E57" s="56">
        <v>31</v>
      </c>
      <c r="F57" s="58">
        <f t="shared" si="26"/>
        <v>10</v>
      </c>
      <c r="G57" s="58">
        <f t="shared" si="33"/>
        <v>7</v>
      </c>
      <c r="H57" s="59" t="str">
        <f t="shared" si="27"/>
        <v>T_06</v>
      </c>
      <c r="I57" s="59" t="str">
        <f t="shared" si="28"/>
        <v>T_09</v>
      </c>
      <c r="J57" s="59">
        <f t="shared" ref="J57" si="45">J52+1</f>
        <v>7</v>
      </c>
      <c r="K57" s="60">
        <f t="shared" si="34"/>
        <v>43839</v>
      </c>
      <c r="L57">
        <v>43437</v>
      </c>
      <c r="M57">
        <v>43437</v>
      </c>
      <c r="N57"/>
      <c r="O57"/>
      <c r="P57" s="122">
        <v>31</v>
      </c>
      <c r="Q57" s="122" t="str">
        <f t="shared" ca="1" si="35"/>
        <v>Fjerritslev</v>
      </c>
      <c r="R57" s="122" t="str">
        <f t="shared" ca="1" si="29"/>
        <v>Indre By</v>
      </c>
      <c r="S57" s="134"/>
      <c r="T57" s="123" t="str">
        <f>IFERROR(T56+mMin,"-")</f>
        <v>-</v>
      </c>
      <c r="U57" s="146"/>
      <c r="V57" s="147"/>
      <c r="W57" s="148"/>
      <c r="X57" s="121" t="str">
        <f t="shared" si="30"/>
        <v>-</v>
      </c>
      <c r="Y57" s="121" t="str">
        <f t="shared" si="31"/>
        <v>-</v>
      </c>
    </row>
    <row r="58" spans="3:25" ht="18" thickBot="1" x14ac:dyDescent="0.4">
      <c r="C58" s="67" t="s">
        <v>115</v>
      </c>
      <c r="D58" s="66">
        <f t="shared" si="32"/>
        <v>0</v>
      </c>
      <c r="E58" s="67">
        <v>32</v>
      </c>
      <c r="F58" s="68">
        <f t="shared" si="26"/>
        <v>9</v>
      </c>
      <c r="G58" s="68">
        <f t="shared" si="33"/>
        <v>8</v>
      </c>
      <c r="H58" s="69" t="str">
        <f t="shared" si="27"/>
        <v>T_07</v>
      </c>
      <c r="I58" s="69" t="str">
        <f t="shared" si="28"/>
        <v>T_08</v>
      </c>
      <c r="J58" s="69">
        <f t="shared" ref="J58" si="46">J57</f>
        <v>7</v>
      </c>
      <c r="K58" s="70">
        <f t="shared" si="34"/>
        <v>43839</v>
      </c>
      <c r="L58">
        <v>43437</v>
      </c>
      <c r="M58">
        <v>43437</v>
      </c>
      <c r="N58"/>
      <c r="O58"/>
      <c r="P58" s="124">
        <v>32</v>
      </c>
      <c r="Q58" s="124" t="str">
        <f t="shared" ca="1" si="35"/>
        <v>Glamsbjerg</v>
      </c>
      <c r="R58" s="124" t="str">
        <f t="shared" ca="1" si="29"/>
        <v>Holeby</v>
      </c>
      <c r="S58" s="135"/>
      <c r="T58" s="125" t="str">
        <f>IFERROR(T57+mMin,"-")</f>
        <v>-</v>
      </c>
      <c r="U58" s="149"/>
      <c r="V58" s="150"/>
      <c r="W58" s="151"/>
      <c r="X58" s="126" t="str">
        <f t="shared" si="30"/>
        <v>-</v>
      </c>
      <c r="Y58" s="126" t="str">
        <f t="shared" si="31"/>
        <v>-</v>
      </c>
    </row>
    <row r="59" spans="3:25" ht="17.399999999999999" x14ac:dyDescent="0.35">
      <c r="C59" s="63" t="s">
        <v>116</v>
      </c>
      <c r="D59" s="62">
        <f t="shared" si="32"/>
        <v>0</v>
      </c>
      <c r="E59" s="63">
        <v>33</v>
      </c>
      <c r="F59" s="51">
        <f t="shared" si="26"/>
        <v>3</v>
      </c>
      <c r="G59" s="51">
        <f t="shared" si="33"/>
        <v>2</v>
      </c>
      <c r="H59" s="64" t="str">
        <f t="shared" ref="H59:H62" si="47">INDEX(HxA,G59,1)</f>
        <v>T_01</v>
      </c>
      <c r="I59" s="64" t="str">
        <f t="shared" ref="I59:I62" si="48">INDEX(HxA,1,F59)</f>
        <v>T_02</v>
      </c>
      <c r="J59" s="64">
        <f t="shared" si="40"/>
        <v>7</v>
      </c>
      <c r="K59" s="65">
        <f t="shared" si="34"/>
        <v>43839</v>
      </c>
      <c r="L59">
        <v>43437</v>
      </c>
      <c r="M59">
        <v>43437</v>
      </c>
      <c r="N59"/>
      <c r="O59"/>
      <c r="P59" s="122">
        <v>33</v>
      </c>
      <c r="Q59" s="122" t="str">
        <f t="shared" ca="1" si="35"/>
        <v>Assens</v>
      </c>
      <c r="R59" s="122" t="str">
        <f t="shared" ca="1" si="29"/>
        <v>Bogense</v>
      </c>
      <c r="S59" s="141"/>
      <c r="T59" s="142" t="s">
        <v>33</v>
      </c>
      <c r="U59" s="152"/>
      <c r="V59" s="153"/>
      <c r="W59" s="154"/>
      <c r="X59" s="121" t="str">
        <f t="shared" si="30"/>
        <v>-</v>
      </c>
      <c r="Y59" s="121" t="str">
        <f t="shared" si="31"/>
        <v>-</v>
      </c>
    </row>
    <row r="60" spans="3:25" ht="17.399999999999999" x14ac:dyDescent="0.35">
      <c r="C60" s="56" t="s">
        <v>118</v>
      </c>
      <c r="D60" s="57">
        <f t="shared" si="32"/>
        <v>0</v>
      </c>
      <c r="E60" s="56">
        <v>34</v>
      </c>
      <c r="F60" s="58">
        <f t="shared" si="26"/>
        <v>10</v>
      </c>
      <c r="G60" s="58">
        <f t="shared" si="33"/>
        <v>5</v>
      </c>
      <c r="H60" s="59" t="str">
        <f t="shared" si="47"/>
        <v>T_04</v>
      </c>
      <c r="I60" s="59" t="str">
        <f t="shared" si="48"/>
        <v>T_09</v>
      </c>
      <c r="J60" s="59">
        <f t="shared" si="40"/>
        <v>7</v>
      </c>
      <c r="K60" s="60">
        <f t="shared" si="34"/>
        <v>43839</v>
      </c>
      <c r="L60">
        <v>43437</v>
      </c>
      <c r="M60">
        <v>43437</v>
      </c>
      <c r="N60"/>
      <c r="O60"/>
      <c r="P60" s="122">
        <v>34</v>
      </c>
      <c r="Q60" s="122" t="str">
        <f t="shared" ca="1" si="35"/>
        <v>Dragør</v>
      </c>
      <c r="R60" s="122" t="str">
        <f t="shared" ca="1" si="29"/>
        <v>Indre By</v>
      </c>
      <c r="S60" s="134"/>
      <c r="T60" s="123" t="str">
        <f>IFERROR(T59+mMin,"-")</f>
        <v>-</v>
      </c>
      <c r="U60" s="146"/>
      <c r="V60" s="147"/>
      <c r="W60" s="148"/>
      <c r="X60" s="121" t="str">
        <f t="shared" si="30"/>
        <v>-</v>
      </c>
      <c r="Y60" s="121" t="str">
        <f t="shared" si="31"/>
        <v>-</v>
      </c>
    </row>
    <row r="61" spans="3:25" ht="17.399999999999999" x14ac:dyDescent="0.35">
      <c r="C61" s="56" t="s">
        <v>119</v>
      </c>
      <c r="D61" s="57">
        <f t="shared" si="32"/>
        <v>0</v>
      </c>
      <c r="E61" s="56">
        <v>35</v>
      </c>
      <c r="F61" s="58">
        <f t="shared" si="26"/>
        <v>9</v>
      </c>
      <c r="G61" s="58">
        <f t="shared" si="33"/>
        <v>6</v>
      </c>
      <c r="H61" s="59" t="str">
        <f t="shared" si="47"/>
        <v>T_05</v>
      </c>
      <c r="I61" s="59" t="str">
        <f t="shared" si="48"/>
        <v>T_08</v>
      </c>
      <c r="J61" s="59">
        <f t="shared" si="40"/>
        <v>7</v>
      </c>
      <c r="K61" s="60">
        <f t="shared" si="34"/>
        <v>43839</v>
      </c>
      <c r="L61">
        <v>43437</v>
      </c>
      <c r="M61">
        <v>43437</v>
      </c>
      <c r="N61"/>
      <c r="O61"/>
      <c r="P61" s="122">
        <v>35</v>
      </c>
      <c r="Q61" s="122" t="str">
        <f t="shared" ca="1" si="35"/>
        <v>Ejby</v>
      </c>
      <c r="R61" s="122" t="str">
        <f t="shared" ca="1" si="29"/>
        <v>Holeby</v>
      </c>
      <c r="S61" s="134"/>
      <c r="T61" s="123" t="str">
        <f>IFERROR(T60+mMin,"-")</f>
        <v>-</v>
      </c>
      <c r="U61" s="146"/>
      <c r="V61" s="147"/>
      <c r="W61" s="148"/>
      <c r="X61" s="121" t="str">
        <f t="shared" si="30"/>
        <v>-</v>
      </c>
      <c r="Y61" s="121" t="str">
        <f t="shared" si="31"/>
        <v>-</v>
      </c>
    </row>
    <row r="62" spans="3:25" ht="18" thickBot="1" x14ac:dyDescent="0.4">
      <c r="C62" s="76" t="s">
        <v>120</v>
      </c>
      <c r="D62" s="77">
        <f t="shared" si="32"/>
        <v>0</v>
      </c>
      <c r="E62" s="76">
        <v>36</v>
      </c>
      <c r="F62" s="78">
        <f t="shared" si="26"/>
        <v>8</v>
      </c>
      <c r="G62" s="78">
        <f t="shared" si="33"/>
        <v>7</v>
      </c>
      <c r="H62" s="79" t="str">
        <f t="shared" si="47"/>
        <v>T_06</v>
      </c>
      <c r="I62" s="79" t="str">
        <f t="shared" si="48"/>
        <v>T_07</v>
      </c>
      <c r="J62" s="79">
        <f t="shared" ref="J62" si="49">J57+1</f>
        <v>8</v>
      </c>
      <c r="K62" s="80">
        <f t="shared" si="34"/>
        <v>43840</v>
      </c>
      <c r="L62">
        <v>43437</v>
      </c>
      <c r="M62">
        <v>43437</v>
      </c>
      <c r="N62"/>
      <c r="O62"/>
      <c r="P62" s="124">
        <v>36</v>
      </c>
      <c r="Q62" s="124" t="str">
        <f t="shared" ca="1" si="35"/>
        <v>Fjerritslev</v>
      </c>
      <c r="R62" s="124" t="str">
        <f t="shared" ca="1" si="29"/>
        <v>Glamsbjerg</v>
      </c>
      <c r="S62" s="136"/>
      <c r="T62" s="137" t="str">
        <f>IFERROR(T61+mMin,"-")</f>
        <v>-</v>
      </c>
      <c r="U62" s="155"/>
      <c r="V62" s="156"/>
      <c r="W62" s="157"/>
      <c r="X62" s="126" t="str">
        <f t="shared" si="30"/>
        <v>-</v>
      </c>
      <c r="Y62" s="126" t="str">
        <f t="shared" si="31"/>
        <v>-</v>
      </c>
    </row>
    <row r="63" spans="3:25" ht="13.2" thickBot="1" x14ac:dyDescent="0.25">
      <c r="H63" s="19" t="s">
        <v>34</v>
      </c>
      <c r="I63" s="19" t="s">
        <v>35</v>
      </c>
      <c r="J63" s="19"/>
      <c r="K63" s="38"/>
      <c r="L63">
        <v>43437</v>
      </c>
      <c r="M63">
        <v>43437</v>
      </c>
      <c r="N63"/>
      <c r="O63"/>
      <c r="Q63" s="92"/>
      <c r="R63" s="92"/>
      <c r="S63" s="92"/>
      <c r="T63" s="93"/>
      <c r="U63" s="5"/>
      <c r="V63" s="5"/>
      <c r="W63" s="94"/>
    </row>
    <row r="64" spans="3:25" ht="18" thickBot="1" x14ac:dyDescent="0.4">
      <c r="H64" s="20" t="str">
        <f>IF(ISNUMBER(V64),IF(V64&gt;W64,Q64,R64),"")</f>
        <v/>
      </c>
      <c r="I64" s="20" t="str">
        <f>IF(ISNUMBER(V64),IF(H64=Q64,R64,Q64),"")</f>
        <v/>
      </c>
      <c r="J64" s="43">
        <f>J62+1</f>
        <v>9</v>
      </c>
      <c r="K64" s="17">
        <f>$K$27+J64</f>
        <v>43841</v>
      </c>
      <c r="L64">
        <v>43437</v>
      </c>
      <c r="M64">
        <v>43437</v>
      </c>
      <c r="N64"/>
      <c r="O64"/>
      <c r="P64" s="89" t="s">
        <v>64</v>
      </c>
      <c r="Q64" s="90"/>
      <c r="R64" s="90"/>
      <c r="S64" s="174"/>
      <c r="T64" s="175"/>
      <c r="U64" s="176"/>
      <c r="V64" s="177"/>
      <c r="W64" s="178"/>
      <c r="X64" s="21" t="str">
        <f t="shared" ref="X64" si="50">IF(ISNUMBER(V64)*ISNUMBER(W64),IF(V64&gt;W64,ptv, IF(V64=W64,ptu,ptt)),"-")</f>
        <v>-</v>
      </c>
      <c r="Y64" s="21" t="str">
        <f t="shared" ref="Y64" si="51">IF(ISNUMBER(V64)*ISNUMBER(W64),IF(X64=ptv,ptt,IF(X64=ptu,ptu,ptv)),"-")</f>
        <v>-</v>
      </c>
    </row>
    <row r="65" spans="8:25" ht="13.2" thickBot="1" x14ac:dyDescent="0.25">
      <c r="H65" s="19" t="s">
        <v>36</v>
      </c>
      <c r="I65" s="19" t="s">
        <v>37</v>
      </c>
      <c r="J65" s="19"/>
      <c r="K65" s="38"/>
      <c r="L65">
        <v>43437</v>
      </c>
      <c r="M65">
        <v>43437</v>
      </c>
      <c r="N65"/>
      <c r="O65"/>
      <c r="Q65" s="92"/>
      <c r="R65" s="92"/>
      <c r="S65" s="92"/>
      <c r="T65" s="5"/>
      <c r="U65" s="5"/>
      <c r="V65" s="5"/>
      <c r="W65" s="94"/>
    </row>
    <row r="66" spans="8:25" ht="18" thickBot="1" x14ac:dyDescent="0.4">
      <c r="H66" s="20" t="str">
        <f>IF(ISNUMBER(V66),IF(V66&gt;W66,Q66,R66),"")</f>
        <v/>
      </c>
      <c r="I66" s="20" t="str">
        <f>IF(ISNUMBER(V66),IF(H66=Q66,R66,Q66),"")</f>
        <v/>
      </c>
      <c r="J66" s="43">
        <f>J64</f>
        <v>9</v>
      </c>
      <c r="K66" s="17">
        <f>$K$27+J66</f>
        <v>43841</v>
      </c>
      <c r="N66"/>
      <c r="O66"/>
      <c r="P66" s="88" t="s">
        <v>175</v>
      </c>
      <c r="Q66" s="90"/>
      <c r="R66" s="90"/>
      <c r="S66" s="174"/>
      <c r="T66" s="175"/>
      <c r="U66" s="176"/>
      <c r="V66" s="177"/>
      <c r="W66" s="178"/>
      <c r="X66" s="21" t="str">
        <f t="shared" ref="X66" si="52">IF(ISNUMBER(V66)*ISNUMBER(W66),IF(V66&gt;W66,ptv, IF(V66=W66,ptu,ptt)),"-")</f>
        <v>-</v>
      </c>
      <c r="Y66" s="21" t="str">
        <f t="shared" ref="Y66" si="53">IF(ISNUMBER(V66)*ISNUMBER(W66),IF(X66=ptv,ptt,IF(X66=ptu,ptu,ptv)),"-")</f>
        <v>-</v>
      </c>
    </row>
  </sheetData>
  <sheetProtection sheet="1" objects="1" scenarios="1"/>
  <conditionalFormatting sqref="D28:D29">
    <cfRule type="expression" dxfId="26" priority="6">
      <formula>D28=1</formula>
    </cfRule>
  </conditionalFormatting>
  <conditionalFormatting sqref="D30:D34">
    <cfRule type="expression" dxfId="25" priority="5">
      <formula>D30=1</formula>
    </cfRule>
  </conditionalFormatting>
  <conditionalFormatting sqref="B16:J24">
    <cfRule type="duplicateValues" dxfId="24" priority="7"/>
    <cfRule type="expression" dxfId="23" priority="8">
      <formula>AND(MOD(B16,2)=0,ISNUMBER(B16))</formula>
    </cfRule>
  </conditionalFormatting>
  <conditionalFormatting sqref="D35:D62">
    <cfRule type="expression" dxfId="22" priority="4">
      <formula>D35=1</formula>
    </cfRule>
  </conditionalFormatting>
  <conditionalFormatting sqref="M3:M11">
    <cfRule type="duplicateValues" dxfId="21" priority="2"/>
  </conditionalFormatting>
  <conditionalFormatting sqref="L3:L11">
    <cfRule type="duplicateValues" dxfId="20" priority="1"/>
  </conditionalFormatting>
  <dataValidations disablePrompts="1" count="1">
    <dataValidation type="list" allowBlank="1" showInputMessage="1" showErrorMessage="1" sqref="Q64:R64 Q66:R66" xr:uid="{00000000-0002-0000-1000-000000000000}">
      <formula1>teams</formula1>
    </dataValidation>
  </dataValidations>
  <printOptions horizontalCentered="1"/>
  <pageMargins left="0.78740157480314965" right="0.59055118110236227" top="0.39370078740157483" bottom="0.39370078740157483" header="0.19685039370078741" footer="0.19685039370078741"/>
  <pageSetup paperSize="9" scale="73" fitToHeight="2" orientation="portrait" verticalDpi="300" r:id="rId1"/>
  <headerFooter>
    <oddFooter>&amp;L&amp;D&amp;R&amp;P/&amp;N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grp09x2">
    <tabColor theme="8"/>
    <outlinePr showOutlineSymbols="0"/>
  </sheetPr>
  <dimension ref="A1:Y102"/>
  <sheetViews>
    <sheetView showGridLines="0" showRowColHeaders="0" showOutlineSymbols="0" zoomScaleNormal="100" zoomScaleSheetLayoutView="85" workbookViewId="0">
      <pane ySplit="26" topLeftCell="A27" activePane="bottomLeft" state="frozen"/>
      <selection activeCell="L43" sqref="L43"/>
      <selection pane="bottomLeft" activeCell="O27" sqref="O27"/>
    </sheetView>
  </sheetViews>
  <sheetFormatPr defaultColWidth="9" defaultRowHeight="12.6" outlineLevelRow="1" outlineLevelCol="1" x14ac:dyDescent="0.2"/>
  <cols>
    <col min="1" max="2" width="0" hidden="1" customWidth="1" outlineLevel="1"/>
    <col min="3" max="3" width="9" hidden="1" customWidth="1" outlineLevel="1"/>
    <col min="4" max="9" width="0" hidden="1" customWidth="1" outlineLevel="1"/>
    <col min="10" max="11" width="9" hidden="1" customWidth="1" outlineLevel="1"/>
    <col min="12" max="12" width="9.26953125" hidden="1" customWidth="1" outlineLevel="1"/>
    <col min="13" max="14" width="3.6328125" hidden="1" customWidth="1" outlineLevel="1"/>
    <col min="15" max="15" width="3.90625" style="13" customWidth="1" collapsed="1"/>
    <col min="16" max="16" width="6" style="13" customWidth="1"/>
    <col min="17" max="18" width="20.453125" style="13" customWidth="1"/>
    <col min="19" max="19" width="9.6328125" style="13" customWidth="1"/>
    <col min="20" max="20" width="8.6328125" customWidth="1"/>
    <col min="21" max="21" width="8.453125" customWidth="1"/>
    <col min="22" max="25" width="6.26953125" customWidth="1"/>
  </cols>
  <sheetData>
    <row r="1" spans="1:25" hidden="1" outlineLevel="1" x14ac:dyDescent="0.2">
      <c r="A1" t="s">
        <v>201</v>
      </c>
      <c r="C1" t="s">
        <v>179</v>
      </c>
      <c r="G1" t="s">
        <v>186</v>
      </c>
      <c r="L1" t="s">
        <v>192</v>
      </c>
    </row>
    <row r="2" spans="1:25"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5" hidden="1" outlineLevel="1" x14ac:dyDescent="0.2">
      <c r="A3" s="103">
        <v>1</v>
      </c>
      <c r="B3" s="103" t="str">
        <f t="shared" ref="B3:B11" si="0">INDEX(xTeams,A3,1)</f>
        <v>Assens</v>
      </c>
      <c r="C3" s="96">
        <f t="shared" ref="C3:C11" ca="1" si="1">SUMIF(team1,teams,goals1)+SUMIF(team2,teams,goals2)</f>
        <v>0</v>
      </c>
      <c r="D3" s="96">
        <f t="shared" ref="D3:D11" ca="1" si="2">SUMIF(team1,teams,goals2)+SUMIF(team2,teams,goals1)</f>
        <v>0</v>
      </c>
      <c r="E3" s="104">
        <f ca="1">SUMIFS(
   points1,team1,teams
) +
  SUMIFS(points2,team2,teams)</f>
        <v>0</v>
      </c>
      <c r="F3" s="96">
        <f t="shared" ref="F3:F11" ca="1" si="3">C3-D3</f>
        <v>0</v>
      </c>
      <c r="G3" s="96">
        <f t="shared" ref="G3:G11" ca="1" si="4">COUNTIFS(team1,$B3,points1,"&gt;=0")+COUNTIFS(team2,$B3,points2,"&gt;=0")</f>
        <v>0</v>
      </c>
      <c r="H3" s="105">
        <f ca="1">IF(G3=0,1,0)</f>
        <v>1</v>
      </c>
      <c r="I3" s="105">
        <f ca="1">RANK($E3,$E$3:$E$11,0)</f>
        <v>1</v>
      </c>
      <c r="J3" s="98">
        <f ca="1">RANK($F3,$F$3:$F$11,0)/10</f>
        <v>0.1</v>
      </c>
      <c r="K3" s="99">
        <f ca="1">RANK($C3,$C$3:$C$11,0)/100</f>
        <v>0.01</v>
      </c>
      <c r="L3" s="99">
        <f ca="1">SUM(H3:K3)</f>
        <v>2.11</v>
      </c>
      <c r="M3" s="96">
        <f ca="1">RANK($L3,$L$3:$L$11,1) + COUNTIF($L$3:$L3,$L3)-1</f>
        <v>1</v>
      </c>
    </row>
    <row r="4" spans="1:25" hidden="1" outlineLevel="1" x14ac:dyDescent="0.2">
      <c r="A4" s="103">
        <v>2</v>
      </c>
      <c r="B4" s="103" t="str">
        <f t="shared" si="0"/>
        <v>Bogense</v>
      </c>
      <c r="C4" s="96">
        <f t="shared" ca="1" si="1"/>
        <v>0</v>
      </c>
      <c r="D4" s="96">
        <f t="shared" ca="1" si="2"/>
        <v>0</v>
      </c>
      <c r="E4" s="104">
        <f t="shared" ref="E4:E11" ca="1" si="5">SUMIFS(points1,team1,teams)+SUMIFS(points2,team2,teams)</f>
        <v>0</v>
      </c>
      <c r="F4" s="96">
        <f t="shared" ca="1" si="3"/>
        <v>0</v>
      </c>
      <c r="G4" s="96">
        <f t="shared" ca="1" si="4"/>
        <v>0</v>
      </c>
      <c r="H4" s="105">
        <f t="shared" ref="H4:H11" ca="1" si="6">IF(G4=0,1,0)</f>
        <v>1</v>
      </c>
      <c r="I4" s="105">
        <f t="shared" ref="I4:I11" ca="1" si="7">RANK($E4,$E$3:$E$11,0)</f>
        <v>1</v>
      </c>
      <c r="J4" s="98">
        <f t="shared" ref="J4:J11" ca="1" si="8">RANK($F4,$F$3:$F$11,0)/10</f>
        <v>0.1</v>
      </c>
      <c r="K4" s="99">
        <f t="shared" ref="K4:K11" ca="1" si="9">RANK($C4,$C$3:$C$11,0)/100</f>
        <v>0.01</v>
      </c>
      <c r="L4" s="99">
        <f t="shared" ref="L4:L11" ca="1" si="10">SUM(H4:K4)</f>
        <v>2.11</v>
      </c>
      <c r="M4" s="96">
        <f ca="1">RANK($L4,$L$3:$L$11,1) + COUNTIF($L$3:$L4,$L4)-1</f>
        <v>2</v>
      </c>
    </row>
    <row r="5" spans="1:25" hidden="1" outlineLevel="1" x14ac:dyDescent="0.2">
      <c r="A5" s="103">
        <v>3</v>
      </c>
      <c r="B5" s="103" t="str">
        <f t="shared" si="0"/>
        <v>Christiansfelt</v>
      </c>
      <c r="C5" s="96">
        <f t="shared" ca="1" si="1"/>
        <v>0</v>
      </c>
      <c r="D5" s="96">
        <f t="shared" ca="1" si="2"/>
        <v>0</v>
      </c>
      <c r="E5" s="104">
        <f t="shared" ca="1" si="5"/>
        <v>0</v>
      </c>
      <c r="F5" s="96">
        <f t="shared" ca="1" si="3"/>
        <v>0</v>
      </c>
      <c r="G5" s="96">
        <f t="shared" ca="1" si="4"/>
        <v>0</v>
      </c>
      <c r="H5" s="105">
        <f t="shared" ca="1" si="6"/>
        <v>1</v>
      </c>
      <c r="I5" s="105">
        <f t="shared" ca="1" si="7"/>
        <v>1</v>
      </c>
      <c r="J5" s="98">
        <f t="shared" ca="1" si="8"/>
        <v>0.1</v>
      </c>
      <c r="K5" s="99">
        <f t="shared" ca="1" si="9"/>
        <v>0.01</v>
      </c>
      <c r="L5" s="99">
        <f t="shared" ca="1" si="10"/>
        <v>2.11</v>
      </c>
      <c r="M5" s="96">
        <f ca="1">RANK($L5,$L$3:$L$11,1) + COUNTIF($L$3:$L5,$L5)-1</f>
        <v>3</v>
      </c>
    </row>
    <row r="6" spans="1:25" hidden="1" outlineLevel="1" x14ac:dyDescent="0.2">
      <c r="A6" s="103">
        <v>4</v>
      </c>
      <c r="B6" s="103" t="str">
        <f t="shared" si="0"/>
        <v>Dragør</v>
      </c>
      <c r="C6" s="96">
        <f t="shared" ca="1" si="1"/>
        <v>0</v>
      </c>
      <c r="D6" s="96">
        <f t="shared" ca="1" si="2"/>
        <v>0</v>
      </c>
      <c r="E6" s="104">
        <f t="shared" ca="1" si="5"/>
        <v>0</v>
      </c>
      <c r="F6" s="96">
        <f t="shared" ca="1" si="3"/>
        <v>0</v>
      </c>
      <c r="G6" s="96">
        <f t="shared" ca="1" si="4"/>
        <v>0</v>
      </c>
      <c r="H6" s="105">
        <f t="shared" ca="1" si="6"/>
        <v>1</v>
      </c>
      <c r="I6" s="105">
        <f t="shared" ca="1" si="7"/>
        <v>1</v>
      </c>
      <c r="J6" s="98">
        <f t="shared" ca="1" si="8"/>
        <v>0.1</v>
      </c>
      <c r="K6" s="99">
        <f t="shared" ca="1" si="9"/>
        <v>0.01</v>
      </c>
      <c r="L6" s="99">
        <f t="shared" ca="1" si="10"/>
        <v>2.11</v>
      </c>
      <c r="M6" s="96">
        <f ca="1">RANK($L6,$L$3:$L$11,1) + COUNTIF($L$3:$L6,$L6)-1</f>
        <v>4</v>
      </c>
    </row>
    <row r="7" spans="1:25" hidden="1" outlineLevel="1" x14ac:dyDescent="0.2">
      <c r="A7" s="103">
        <v>5</v>
      </c>
      <c r="B7" s="103" t="str">
        <f t="shared" si="0"/>
        <v>Ejby</v>
      </c>
      <c r="C7" s="96">
        <f t="shared" ca="1" si="1"/>
        <v>0</v>
      </c>
      <c r="D7" s="96">
        <f t="shared" ca="1" si="2"/>
        <v>0</v>
      </c>
      <c r="E7" s="104">
        <f t="shared" ca="1" si="5"/>
        <v>0</v>
      </c>
      <c r="F7" s="96">
        <f t="shared" ca="1" si="3"/>
        <v>0</v>
      </c>
      <c r="G7" s="96">
        <f t="shared" ca="1" si="4"/>
        <v>0</v>
      </c>
      <c r="H7" s="105">
        <f t="shared" ca="1" si="6"/>
        <v>1</v>
      </c>
      <c r="I7" s="105">
        <f t="shared" ca="1" si="7"/>
        <v>1</v>
      </c>
      <c r="J7" s="98">
        <f t="shared" ca="1" si="8"/>
        <v>0.1</v>
      </c>
      <c r="K7" s="99">
        <f t="shared" ca="1" si="9"/>
        <v>0.01</v>
      </c>
      <c r="L7" s="99">
        <f t="shared" ca="1" si="10"/>
        <v>2.11</v>
      </c>
      <c r="M7" s="96">
        <f ca="1">RANK($L7,$L$3:$L$11,1) + COUNTIF($L$3:$L7,$L7)-1</f>
        <v>5</v>
      </c>
    </row>
    <row r="8" spans="1:25" hidden="1" outlineLevel="1" x14ac:dyDescent="0.2">
      <c r="A8" s="103">
        <v>6</v>
      </c>
      <c r="B8" s="103" t="str">
        <f t="shared" si="0"/>
        <v>Fjerritslev</v>
      </c>
      <c r="C8" s="96">
        <f t="shared" ca="1" si="1"/>
        <v>0</v>
      </c>
      <c r="D8" s="96">
        <f t="shared" ca="1" si="2"/>
        <v>0</v>
      </c>
      <c r="E8" s="104">
        <f t="shared" ca="1" si="5"/>
        <v>0</v>
      </c>
      <c r="F8" s="96">
        <f t="shared" ca="1" si="3"/>
        <v>0</v>
      </c>
      <c r="G8" s="96">
        <f t="shared" ca="1" si="4"/>
        <v>0</v>
      </c>
      <c r="H8" s="105">
        <f t="shared" ca="1" si="6"/>
        <v>1</v>
      </c>
      <c r="I8" s="105">
        <f t="shared" ca="1" si="7"/>
        <v>1</v>
      </c>
      <c r="J8" s="98">
        <f t="shared" ca="1" si="8"/>
        <v>0.1</v>
      </c>
      <c r="K8" s="99">
        <f t="shared" ca="1" si="9"/>
        <v>0.01</v>
      </c>
      <c r="L8" s="99">
        <f t="shared" ca="1" si="10"/>
        <v>2.11</v>
      </c>
      <c r="M8" s="96">
        <f ca="1">RANK($L8,$L$3:$L$11,1) + COUNTIF($L$3:$L8,$L8)-1</f>
        <v>6</v>
      </c>
    </row>
    <row r="9" spans="1:25" hidden="1" outlineLevel="1" x14ac:dyDescent="0.2">
      <c r="A9" s="103">
        <v>7</v>
      </c>
      <c r="B9" s="103" t="str">
        <f t="shared" si="0"/>
        <v>Glamsbjerg</v>
      </c>
      <c r="C9" s="96">
        <f t="shared" ca="1" si="1"/>
        <v>0</v>
      </c>
      <c r="D9" s="96">
        <f t="shared" ca="1" si="2"/>
        <v>0</v>
      </c>
      <c r="E9" s="104">
        <f t="shared" ca="1" si="5"/>
        <v>0</v>
      </c>
      <c r="F9" s="96">
        <f t="shared" ca="1" si="3"/>
        <v>0</v>
      </c>
      <c r="G9" s="96">
        <f t="shared" ca="1" si="4"/>
        <v>0</v>
      </c>
      <c r="H9" s="105">
        <f t="shared" ca="1" si="6"/>
        <v>1</v>
      </c>
      <c r="I9" s="105">
        <f t="shared" ca="1" si="7"/>
        <v>1</v>
      </c>
      <c r="J9" s="98">
        <f t="shared" ca="1" si="8"/>
        <v>0.1</v>
      </c>
      <c r="K9" s="99">
        <f t="shared" ca="1" si="9"/>
        <v>0.01</v>
      </c>
      <c r="L9" s="99">
        <f t="shared" ca="1" si="10"/>
        <v>2.11</v>
      </c>
      <c r="M9" s="96">
        <f ca="1">RANK($L9,$L$3:$L$11,1) + COUNTIF($L$3:$L9,$L9)-1</f>
        <v>7</v>
      </c>
    </row>
    <row r="10" spans="1:25" hidden="1" outlineLevel="1" x14ac:dyDescent="0.2">
      <c r="A10" s="103">
        <v>8</v>
      </c>
      <c r="B10" s="103" t="str">
        <f t="shared" si="0"/>
        <v>Holeby</v>
      </c>
      <c r="C10" s="96">
        <f t="shared" ca="1" si="1"/>
        <v>0</v>
      </c>
      <c r="D10" s="96">
        <f t="shared" ca="1" si="2"/>
        <v>0</v>
      </c>
      <c r="E10" s="104">
        <f t="shared" ca="1" si="5"/>
        <v>0</v>
      </c>
      <c r="F10" s="96">
        <f t="shared" ca="1" si="3"/>
        <v>0</v>
      </c>
      <c r="G10" s="96">
        <f t="shared" ca="1" si="4"/>
        <v>0</v>
      </c>
      <c r="H10" s="105">
        <f t="shared" ca="1" si="6"/>
        <v>1</v>
      </c>
      <c r="I10" s="105">
        <f t="shared" ca="1" si="7"/>
        <v>1</v>
      </c>
      <c r="J10" s="98">
        <f t="shared" ca="1" si="8"/>
        <v>0.1</v>
      </c>
      <c r="K10" s="99">
        <f t="shared" ca="1" si="9"/>
        <v>0.01</v>
      </c>
      <c r="L10" s="99">
        <f t="shared" ca="1" si="10"/>
        <v>2.11</v>
      </c>
      <c r="M10" s="96">
        <f ca="1">RANK($L10,$L$3:$L$11,1) + COUNTIF($L$3:$L10,$L10)-1</f>
        <v>8</v>
      </c>
    </row>
    <row r="11" spans="1:25" hidden="1" outlineLevel="1" x14ac:dyDescent="0.2">
      <c r="A11" s="103">
        <v>9</v>
      </c>
      <c r="B11" s="103" t="str">
        <f t="shared" si="0"/>
        <v>Indre By</v>
      </c>
      <c r="C11" s="96">
        <f t="shared" ca="1" si="1"/>
        <v>0</v>
      </c>
      <c r="D11" s="96">
        <f t="shared" ca="1" si="2"/>
        <v>0</v>
      </c>
      <c r="E11" s="104">
        <f t="shared" ca="1" si="5"/>
        <v>0</v>
      </c>
      <c r="F11" s="96">
        <f t="shared" ca="1" si="3"/>
        <v>0</v>
      </c>
      <c r="G11" s="96">
        <f t="shared" ca="1" si="4"/>
        <v>0</v>
      </c>
      <c r="H11" s="105">
        <f t="shared" ca="1" si="6"/>
        <v>1</v>
      </c>
      <c r="I11" s="105">
        <f t="shared" ca="1" si="7"/>
        <v>1</v>
      </c>
      <c r="J11" s="98">
        <f t="shared" ca="1" si="8"/>
        <v>0.1</v>
      </c>
      <c r="K11" s="99">
        <f t="shared" ca="1" si="9"/>
        <v>0.01</v>
      </c>
      <c r="L11" s="99">
        <f t="shared" ca="1" si="10"/>
        <v>2.11</v>
      </c>
      <c r="M11" s="96">
        <f ca="1">RANK($L11,$L$3:$L$11,1) + COUNTIF($L$3:$L11,$L11)-1</f>
        <v>9</v>
      </c>
    </row>
    <row r="12" spans="1:25" ht="13.2" collapsed="1" thickBot="1" x14ac:dyDescent="0.25">
      <c r="O12" s="4"/>
      <c r="P12" s="4"/>
      <c r="Q12"/>
      <c r="R12"/>
      <c r="S12"/>
    </row>
    <row r="13" spans="1:25" s="4" customFormat="1" ht="24" thickBot="1" x14ac:dyDescent="0.5">
      <c r="A13" s="42" t="s">
        <v>168</v>
      </c>
      <c r="B13" s="74">
        <v>9</v>
      </c>
      <c r="C13" s="72"/>
      <c r="D13" s="73" t="s">
        <v>65</v>
      </c>
      <c r="E13" s="74">
        <f>(B13/2)*(B13-1)</f>
        <v>36</v>
      </c>
      <c r="F13"/>
      <c r="G13"/>
      <c r="H13"/>
      <c r="I13"/>
      <c r="J13"/>
      <c r="K13"/>
      <c r="P13" s="75" t="str">
        <f>TurneringsNavn</f>
        <v>Forårsstævne</v>
      </c>
      <c r="Q13" s="5"/>
      <c r="R13" s="5"/>
      <c r="S13" s="5"/>
      <c r="T13" s="5"/>
      <c r="U13" s="5"/>
      <c r="V13" s="5"/>
      <c r="W13" s="5"/>
      <c r="X13" s="5"/>
      <c r="Y13" s="5"/>
    </row>
    <row r="14" spans="1:25" ht="6.75" customHeight="1" x14ac:dyDescent="0.2">
      <c r="O14"/>
      <c r="P14"/>
      <c r="Q14"/>
      <c r="R14"/>
      <c r="S14"/>
    </row>
    <row r="15" spans="1:25" ht="13.8" x14ac:dyDescent="0.25">
      <c r="B15" s="35" t="s">
        <v>66</v>
      </c>
      <c r="C15" s="35" t="s">
        <v>67</v>
      </c>
      <c r="D15" s="35" t="s">
        <v>68</v>
      </c>
      <c r="E15" s="35" t="s">
        <v>69</v>
      </c>
      <c r="F15" s="35" t="s">
        <v>70</v>
      </c>
      <c r="G15" s="35" t="s">
        <v>71</v>
      </c>
      <c r="H15" s="35" t="s">
        <v>72</v>
      </c>
      <c r="I15" s="35" t="s">
        <v>73</v>
      </c>
      <c r="J15" s="35" t="s">
        <v>74</v>
      </c>
      <c r="K15" s="7" t="s">
        <v>2</v>
      </c>
      <c r="L15" s="6" t="s">
        <v>3</v>
      </c>
      <c r="M15" s="6" t="s">
        <v>4</v>
      </c>
      <c r="N15" s="6" t="s">
        <v>167</v>
      </c>
      <c r="O15" s="6"/>
      <c r="P15" s="128" t="s">
        <v>198</v>
      </c>
      <c r="Q15" s="129" t="s">
        <v>176</v>
      </c>
      <c r="R15" s="129"/>
      <c r="S15" s="130" t="s">
        <v>5</v>
      </c>
      <c r="T15" s="128" t="s">
        <v>6</v>
      </c>
      <c r="U15" s="128" t="s">
        <v>7</v>
      </c>
      <c r="V15" s="128" t="s">
        <v>8</v>
      </c>
      <c r="W15" s="128" t="s">
        <v>9</v>
      </c>
      <c r="X15" s="128" t="s">
        <v>10</v>
      </c>
      <c r="Y15" s="131" t="s">
        <v>177</v>
      </c>
    </row>
    <row r="16" spans="1:25" ht="17.399999999999999" x14ac:dyDescent="0.35">
      <c r="A16" s="35" t="s">
        <v>66</v>
      </c>
      <c r="B16" s="36"/>
      <c r="C16" s="9">
        <v>33</v>
      </c>
      <c r="D16" s="9">
        <v>65</v>
      </c>
      <c r="E16" s="9">
        <v>25</v>
      </c>
      <c r="F16" s="9">
        <v>57</v>
      </c>
      <c r="G16" s="9">
        <v>17</v>
      </c>
      <c r="H16" s="9">
        <v>49</v>
      </c>
      <c r="I16" s="9">
        <v>9</v>
      </c>
      <c r="J16" s="9">
        <v>41</v>
      </c>
      <c r="K16" s="10" t="str">
        <f t="shared" ref="K16:K24" ca="1" si="11">IFERROR(CHOOSE((Q16=H$102)*1+(Q16=I$102)*2+(Q16=H$100)*3,"Guld","Sølv","Bronze"),"")</f>
        <v/>
      </c>
      <c r="L16" s="11">
        <f t="shared" ref="L16:L24" ca="1" si="12">COUNTIF(team1,$B3)</f>
        <v>8</v>
      </c>
      <c r="M16" s="11">
        <f t="shared" ref="M16:M24" ca="1" si="13">COUNTIF(team2,$B3)</f>
        <v>8</v>
      </c>
      <c r="N16" s="11">
        <f ca="1">SUM(L16:M16)</f>
        <v>16</v>
      </c>
      <c r="O16" s="11"/>
      <c r="P16" s="119">
        <v>1</v>
      </c>
      <c r="Q16" s="120" t="str">
        <f t="shared" ref="Q16:Q24" ca="1" si="14" xml:space="preserve">  INDEX(teams,MATCH(rankNum,actRank,0))</f>
        <v>Assens</v>
      </c>
      <c r="R16" s="120"/>
      <c r="S16" s="127">
        <f t="shared" ref="S16:S24" ca="1" si="15">COUNTIFS(team1,teamName,points1,"&gt;=0")+COUNTIFS(team2,teamName,points2,"&gt;=0")</f>
        <v>0</v>
      </c>
      <c r="T16" s="143">
        <f t="shared" ref="T16:T24" ca="1" si="16">COUNTIFS(team1,teamName,points1,ptv)+COUNTIFS(team2,teamName,points2,ptv)</f>
        <v>0</v>
      </c>
      <c r="U16" s="121">
        <f t="shared" ref="U16:U24" ca="1" si="17">COUNTIFS(team1,teamName,points1,ptu)+COUNTIFS(team2,teamName,points2,ptu)</f>
        <v>0</v>
      </c>
      <c r="V16" s="121">
        <f t="shared" ref="V16:V24" ca="1" si="18">COUNTIFS(team1,teamName,points1,ptt)+COUNTIFS(team2,teamName,points2,ptt)</f>
        <v>0</v>
      </c>
      <c r="W16" s="143">
        <f t="shared" ref="W16:W24" ca="1" si="19">SUMIF(team1,teamName,goals1)+SUMIF(team2,teamName,goals2)</f>
        <v>0</v>
      </c>
      <c r="X16" s="121">
        <f t="shared" ref="X16:X24" ca="1" si="20">SUMIF(team1,teamName,goals2)+SUMIF(team2,teamName,goals1)</f>
        <v>0</v>
      </c>
      <c r="Y16" s="144">
        <f t="shared" ref="Y16:Y24" ca="1" si="21">SUMIFS(points1,team1,teamName)+SUMIFS(points2,team2,teamName)</f>
        <v>0</v>
      </c>
    </row>
    <row r="17" spans="1:25" ht="17.399999999999999" x14ac:dyDescent="0.35">
      <c r="A17" s="35" t="s">
        <v>67</v>
      </c>
      <c r="B17" s="9">
        <v>69</v>
      </c>
      <c r="C17" s="36"/>
      <c r="D17" s="9">
        <v>16</v>
      </c>
      <c r="E17" s="9">
        <v>66</v>
      </c>
      <c r="F17" s="9">
        <v>11</v>
      </c>
      <c r="G17" s="9">
        <v>63</v>
      </c>
      <c r="H17" s="9">
        <v>6</v>
      </c>
      <c r="I17" s="9">
        <v>60</v>
      </c>
      <c r="J17" s="9">
        <v>1</v>
      </c>
      <c r="K17" s="10" t="str">
        <f t="shared" ca="1" si="11"/>
        <v/>
      </c>
      <c r="L17" s="11">
        <f t="shared" ca="1" si="12"/>
        <v>8</v>
      </c>
      <c r="M17" s="11">
        <f t="shared" ca="1" si="13"/>
        <v>8</v>
      </c>
      <c r="N17" s="11">
        <f t="shared" ref="N17:N24" ca="1" si="22">SUM(L17:M17)</f>
        <v>16</v>
      </c>
      <c r="O17" s="11"/>
      <c r="P17" s="119">
        <v>2</v>
      </c>
      <c r="Q17" s="120" t="str">
        <f t="shared" ca="1" si="14"/>
        <v>Bogense</v>
      </c>
      <c r="R17" s="120"/>
      <c r="S17" s="127">
        <f t="shared" ca="1" si="15"/>
        <v>0</v>
      </c>
      <c r="T17" s="143">
        <f t="shared" ca="1" si="16"/>
        <v>0</v>
      </c>
      <c r="U17" s="121">
        <f t="shared" ca="1" si="17"/>
        <v>0</v>
      </c>
      <c r="V17" s="121">
        <f t="shared" ca="1" si="18"/>
        <v>0</v>
      </c>
      <c r="W17" s="143">
        <f t="shared" ca="1" si="19"/>
        <v>0</v>
      </c>
      <c r="X17" s="121">
        <f t="shared" ca="1" si="20"/>
        <v>0</v>
      </c>
      <c r="Y17" s="144">
        <f t="shared" ca="1" si="21"/>
        <v>0</v>
      </c>
    </row>
    <row r="18" spans="1:25" ht="17.399999999999999" x14ac:dyDescent="0.35">
      <c r="A18" s="35" t="s">
        <v>68</v>
      </c>
      <c r="B18" s="9">
        <v>29</v>
      </c>
      <c r="C18" s="9">
        <v>52</v>
      </c>
      <c r="D18" s="36"/>
      <c r="E18" s="9">
        <v>12</v>
      </c>
      <c r="F18" s="9">
        <v>62</v>
      </c>
      <c r="G18" s="9">
        <v>7</v>
      </c>
      <c r="H18" s="9">
        <v>59</v>
      </c>
      <c r="I18" s="9">
        <v>2</v>
      </c>
      <c r="J18" s="9">
        <v>56</v>
      </c>
      <c r="K18" s="10" t="str">
        <f t="shared" ca="1" si="11"/>
        <v/>
      </c>
      <c r="L18" s="11">
        <f t="shared" ca="1" si="12"/>
        <v>8</v>
      </c>
      <c r="M18" s="11">
        <f t="shared" ca="1" si="13"/>
        <v>8</v>
      </c>
      <c r="N18" s="11">
        <f t="shared" ca="1" si="22"/>
        <v>16</v>
      </c>
      <c r="O18" s="11"/>
      <c r="P18" s="119">
        <v>3</v>
      </c>
      <c r="Q18" s="120" t="str">
        <f t="shared" ca="1" si="14"/>
        <v>Christiansfelt</v>
      </c>
      <c r="R18" s="120"/>
      <c r="S18" s="127">
        <f t="shared" ca="1" si="15"/>
        <v>0</v>
      </c>
      <c r="T18" s="143">
        <f t="shared" ca="1" si="16"/>
        <v>0</v>
      </c>
      <c r="U18" s="121">
        <f t="shared" ca="1" si="17"/>
        <v>0</v>
      </c>
      <c r="V18" s="121">
        <f t="shared" ca="1" si="18"/>
        <v>0</v>
      </c>
      <c r="W18" s="143">
        <f t="shared" ca="1" si="19"/>
        <v>0</v>
      </c>
      <c r="X18" s="121">
        <f t="shared" ca="1" si="20"/>
        <v>0</v>
      </c>
      <c r="Y18" s="144">
        <f t="shared" ca="1" si="21"/>
        <v>0</v>
      </c>
    </row>
    <row r="19" spans="1:25" ht="17.399999999999999" x14ac:dyDescent="0.35">
      <c r="A19" s="35" t="s">
        <v>69</v>
      </c>
      <c r="B19" s="9">
        <v>61</v>
      </c>
      <c r="C19" s="9">
        <v>30</v>
      </c>
      <c r="D19" s="9">
        <v>48</v>
      </c>
      <c r="E19" s="36"/>
      <c r="F19" s="9">
        <v>8</v>
      </c>
      <c r="G19" s="9">
        <v>58</v>
      </c>
      <c r="H19" s="9">
        <v>3</v>
      </c>
      <c r="I19" s="9">
        <v>55</v>
      </c>
      <c r="J19" s="9">
        <v>34</v>
      </c>
      <c r="K19" s="10" t="str">
        <f t="shared" ca="1" si="11"/>
        <v/>
      </c>
      <c r="L19" s="11">
        <f t="shared" ca="1" si="12"/>
        <v>8</v>
      </c>
      <c r="M19" s="11">
        <f t="shared" ca="1" si="13"/>
        <v>8</v>
      </c>
      <c r="N19" s="11">
        <f t="shared" ca="1" si="22"/>
        <v>16</v>
      </c>
      <c r="O19" s="11"/>
      <c r="P19" s="119">
        <v>4</v>
      </c>
      <c r="Q19" s="120" t="str">
        <f t="shared" ca="1" si="14"/>
        <v>Dragør</v>
      </c>
      <c r="R19" s="120"/>
      <c r="S19" s="127">
        <f t="shared" ca="1" si="15"/>
        <v>0</v>
      </c>
      <c r="T19" s="143">
        <f t="shared" ca="1" si="16"/>
        <v>0</v>
      </c>
      <c r="U19" s="121">
        <f t="shared" ca="1" si="17"/>
        <v>0</v>
      </c>
      <c r="V19" s="121">
        <f t="shared" ca="1" si="18"/>
        <v>0</v>
      </c>
      <c r="W19" s="143">
        <f t="shared" ca="1" si="19"/>
        <v>0</v>
      </c>
      <c r="X19" s="121">
        <f t="shared" ca="1" si="20"/>
        <v>0</v>
      </c>
      <c r="Y19" s="144">
        <f t="shared" ca="1" si="21"/>
        <v>0</v>
      </c>
    </row>
    <row r="20" spans="1:25" ht="17.399999999999999" x14ac:dyDescent="0.35">
      <c r="A20" s="35" t="s">
        <v>70</v>
      </c>
      <c r="B20" s="9">
        <v>21</v>
      </c>
      <c r="C20" s="9">
        <v>47</v>
      </c>
      <c r="D20" s="9">
        <v>26</v>
      </c>
      <c r="E20" s="9">
        <v>44</v>
      </c>
      <c r="F20" s="36"/>
      <c r="G20" s="9">
        <v>4</v>
      </c>
      <c r="H20" s="9">
        <v>54</v>
      </c>
      <c r="I20" s="9">
        <v>35</v>
      </c>
      <c r="J20" s="9">
        <v>51</v>
      </c>
      <c r="K20" s="10" t="str">
        <f t="shared" ca="1" si="11"/>
        <v/>
      </c>
      <c r="L20" s="11">
        <f t="shared" ca="1" si="12"/>
        <v>8</v>
      </c>
      <c r="M20" s="11">
        <f t="shared" ca="1" si="13"/>
        <v>8</v>
      </c>
      <c r="N20" s="11">
        <f t="shared" ca="1" si="22"/>
        <v>16</v>
      </c>
      <c r="O20" s="11"/>
      <c r="P20" s="119">
        <v>5</v>
      </c>
      <c r="Q20" s="120" t="str">
        <f t="shared" ca="1" si="14"/>
        <v>Ejby</v>
      </c>
      <c r="R20" s="120"/>
      <c r="S20" s="127">
        <f t="shared" ca="1" si="15"/>
        <v>0</v>
      </c>
      <c r="T20" s="143">
        <f t="shared" ca="1" si="16"/>
        <v>0</v>
      </c>
      <c r="U20" s="121">
        <f t="shared" ca="1" si="17"/>
        <v>0</v>
      </c>
      <c r="V20" s="121">
        <f t="shared" ca="1" si="18"/>
        <v>0</v>
      </c>
      <c r="W20" s="143">
        <f t="shared" ca="1" si="19"/>
        <v>0</v>
      </c>
      <c r="X20" s="121">
        <f t="shared" ca="1" si="20"/>
        <v>0</v>
      </c>
      <c r="Y20" s="144">
        <f t="shared" ca="1" si="21"/>
        <v>0</v>
      </c>
    </row>
    <row r="21" spans="1:25" ht="17.399999999999999" x14ac:dyDescent="0.35">
      <c r="A21" s="35" t="s">
        <v>71</v>
      </c>
      <c r="B21" s="9">
        <v>53</v>
      </c>
      <c r="C21" s="9">
        <v>27</v>
      </c>
      <c r="D21" s="9">
        <v>43</v>
      </c>
      <c r="E21" s="9">
        <v>22</v>
      </c>
      <c r="F21" s="9">
        <v>40</v>
      </c>
      <c r="G21" s="36"/>
      <c r="H21" s="9">
        <v>36</v>
      </c>
      <c r="I21" s="9">
        <v>50</v>
      </c>
      <c r="J21" s="9">
        <v>31</v>
      </c>
      <c r="K21" s="10" t="str">
        <f t="shared" ca="1" si="11"/>
        <v/>
      </c>
      <c r="L21" s="11">
        <f t="shared" ca="1" si="12"/>
        <v>8</v>
      </c>
      <c r="M21" s="11">
        <f t="shared" ca="1" si="13"/>
        <v>8</v>
      </c>
      <c r="N21" s="11">
        <f t="shared" ca="1" si="22"/>
        <v>16</v>
      </c>
      <c r="O21" s="11"/>
      <c r="P21" s="119">
        <v>6</v>
      </c>
      <c r="Q21" s="120" t="str">
        <f t="shared" ca="1" si="14"/>
        <v>Fjerritslev</v>
      </c>
      <c r="R21" s="120"/>
      <c r="S21" s="127">
        <f t="shared" ca="1" si="15"/>
        <v>0</v>
      </c>
      <c r="T21" s="143">
        <f t="shared" ca="1" si="16"/>
        <v>0</v>
      </c>
      <c r="U21" s="121">
        <f t="shared" ca="1" si="17"/>
        <v>0</v>
      </c>
      <c r="V21" s="121">
        <f t="shared" ca="1" si="18"/>
        <v>0</v>
      </c>
      <c r="W21" s="143">
        <f t="shared" ca="1" si="19"/>
        <v>0</v>
      </c>
      <c r="X21" s="121">
        <f t="shared" ca="1" si="20"/>
        <v>0</v>
      </c>
      <c r="Y21" s="144">
        <f t="shared" ca="1" si="21"/>
        <v>0</v>
      </c>
    </row>
    <row r="22" spans="1:25" ht="17.399999999999999" x14ac:dyDescent="0.35">
      <c r="A22" s="35" t="s">
        <v>72</v>
      </c>
      <c r="B22" s="9">
        <v>13</v>
      </c>
      <c r="C22" s="9">
        <v>42</v>
      </c>
      <c r="D22" s="9">
        <v>23</v>
      </c>
      <c r="E22" s="9">
        <v>39</v>
      </c>
      <c r="F22" s="9">
        <v>18</v>
      </c>
      <c r="G22" s="9">
        <v>72</v>
      </c>
      <c r="H22" s="36"/>
      <c r="I22" s="9">
        <v>32</v>
      </c>
      <c r="J22" s="9">
        <v>46</v>
      </c>
      <c r="K22" s="10" t="str">
        <f t="shared" ca="1" si="11"/>
        <v/>
      </c>
      <c r="L22" s="11">
        <f t="shared" ca="1" si="12"/>
        <v>8</v>
      </c>
      <c r="M22" s="11">
        <f t="shared" ca="1" si="13"/>
        <v>8</v>
      </c>
      <c r="N22" s="11">
        <f t="shared" ca="1" si="22"/>
        <v>16</v>
      </c>
      <c r="O22" s="11"/>
      <c r="P22" s="119">
        <v>7</v>
      </c>
      <c r="Q22" s="120" t="str">
        <f t="shared" ca="1" si="14"/>
        <v>Glamsbjerg</v>
      </c>
      <c r="R22" s="120"/>
      <c r="S22" s="127">
        <f t="shared" ca="1" si="15"/>
        <v>0</v>
      </c>
      <c r="T22" s="143">
        <f t="shared" ca="1" si="16"/>
        <v>0</v>
      </c>
      <c r="U22" s="121">
        <f t="shared" ca="1" si="17"/>
        <v>0</v>
      </c>
      <c r="V22" s="121">
        <f t="shared" ca="1" si="18"/>
        <v>0</v>
      </c>
      <c r="W22" s="143">
        <f t="shared" ca="1" si="19"/>
        <v>0</v>
      </c>
      <c r="X22" s="121">
        <f t="shared" ca="1" si="20"/>
        <v>0</v>
      </c>
      <c r="Y22" s="144">
        <f t="shared" ca="1" si="21"/>
        <v>0</v>
      </c>
    </row>
    <row r="23" spans="1:25" ht="17.399999999999999" x14ac:dyDescent="0.35">
      <c r="A23" s="35" t="s">
        <v>73</v>
      </c>
      <c r="B23" s="9">
        <v>45</v>
      </c>
      <c r="C23" s="9">
        <v>24</v>
      </c>
      <c r="D23" s="9">
        <v>38</v>
      </c>
      <c r="E23" s="9">
        <v>19</v>
      </c>
      <c r="F23" s="9">
        <v>71</v>
      </c>
      <c r="G23" s="9">
        <v>14</v>
      </c>
      <c r="H23" s="9">
        <v>68</v>
      </c>
      <c r="I23" s="36"/>
      <c r="J23" s="9">
        <v>28</v>
      </c>
      <c r="K23" s="10" t="str">
        <f t="shared" ca="1" si="11"/>
        <v/>
      </c>
      <c r="L23" s="11">
        <f t="shared" ca="1" si="12"/>
        <v>8</v>
      </c>
      <c r="M23" s="11">
        <f t="shared" ca="1" si="13"/>
        <v>8</v>
      </c>
      <c r="N23" s="11">
        <f t="shared" ca="1" si="22"/>
        <v>16</v>
      </c>
      <c r="O23" s="11"/>
      <c r="P23" s="119">
        <v>8</v>
      </c>
      <c r="Q23" s="120" t="str">
        <f t="shared" ca="1" si="14"/>
        <v>Holeby</v>
      </c>
      <c r="R23" s="120"/>
      <c r="S23" s="127">
        <f t="shared" ca="1" si="15"/>
        <v>0</v>
      </c>
      <c r="T23" s="143">
        <f t="shared" ca="1" si="16"/>
        <v>0</v>
      </c>
      <c r="U23" s="121">
        <f t="shared" ca="1" si="17"/>
        <v>0</v>
      </c>
      <c r="V23" s="121">
        <f t="shared" ca="1" si="18"/>
        <v>0</v>
      </c>
      <c r="W23" s="143">
        <f t="shared" ca="1" si="19"/>
        <v>0</v>
      </c>
      <c r="X23" s="121">
        <f t="shared" ca="1" si="20"/>
        <v>0</v>
      </c>
      <c r="Y23" s="144">
        <f t="shared" ca="1" si="21"/>
        <v>0</v>
      </c>
    </row>
    <row r="24" spans="1:25" ht="17.399999999999999" x14ac:dyDescent="0.35">
      <c r="A24" s="35" t="s">
        <v>74</v>
      </c>
      <c r="B24" s="9">
        <v>5</v>
      </c>
      <c r="C24" s="9">
        <v>37</v>
      </c>
      <c r="D24" s="9">
        <v>20</v>
      </c>
      <c r="E24" s="9">
        <v>70</v>
      </c>
      <c r="F24" s="9">
        <v>15</v>
      </c>
      <c r="G24" s="9">
        <v>67</v>
      </c>
      <c r="H24" s="9">
        <v>10</v>
      </c>
      <c r="I24" s="9">
        <v>64</v>
      </c>
      <c r="J24" s="36"/>
      <c r="K24" s="10" t="str">
        <f t="shared" ca="1" si="11"/>
        <v/>
      </c>
      <c r="L24" s="11">
        <f t="shared" ca="1" si="12"/>
        <v>8</v>
      </c>
      <c r="M24" s="11">
        <f t="shared" ca="1" si="13"/>
        <v>8</v>
      </c>
      <c r="N24" s="11">
        <f t="shared" ca="1" si="22"/>
        <v>16</v>
      </c>
      <c r="O24" s="11"/>
      <c r="P24" s="119">
        <v>9</v>
      </c>
      <c r="Q24" s="120" t="str">
        <f t="shared" ca="1" si="14"/>
        <v>Indre By</v>
      </c>
      <c r="R24" s="120"/>
      <c r="S24" s="127">
        <f t="shared" ca="1" si="15"/>
        <v>0</v>
      </c>
      <c r="T24" s="143">
        <f t="shared" ca="1" si="16"/>
        <v>0</v>
      </c>
      <c r="U24" s="121">
        <f t="shared" ca="1" si="17"/>
        <v>0</v>
      </c>
      <c r="V24" s="121">
        <f t="shared" ca="1" si="18"/>
        <v>0</v>
      </c>
      <c r="W24" s="143">
        <f t="shared" ca="1" si="19"/>
        <v>0</v>
      </c>
      <c r="X24" s="121">
        <f t="shared" ca="1" si="20"/>
        <v>0</v>
      </c>
      <c r="Y24" s="144">
        <f t="shared" ca="1" si="21"/>
        <v>0</v>
      </c>
    </row>
    <row r="25" spans="1:25" ht="12" customHeight="1" x14ac:dyDescent="0.2">
      <c r="A25" s="6"/>
      <c r="B25" s="37"/>
      <c r="C25" s="37"/>
      <c r="D25" s="37"/>
      <c r="E25" s="37"/>
      <c r="F25" s="37"/>
      <c r="G25" s="37"/>
      <c r="H25" s="37"/>
      <c r="I25" s="37"/>
      <c r="J25" s="37"/>
      <c r="K25" s="37"/>
      <c r="L25" s="37"/>
      <c r="M25" s="11"/>
      <c r="N25" s="11"/>
      <c r="O25" s="11"/>
      <c r="P25"/>
      <c r="Q25"/>
      <c r="R25"/>
      <c r="S25"/>
    </row>
    <row r="26" spans="1:25" s="12" customFormat="1" ht="15" thickBot="1" x14ac:dyDescent="0.35">
      <c r="B26"/>
      <c r="C26" s="44" t="s">
        <v>17</v>
      </c>
      <c r="D26" s="45" t="s">
        <v>18</v>
      </c>
      <c r="E26" s="44" t="s">
        <v>19</v>
      </c>
      <c r="F26" s="48" t="s">
        <v>20</v>
      </c>
      <c r="G26" s="48" t="s">
        <v>21</v>
      </c>
      <c r="H26" s="48" t="s">
        <v>22</v>
      </c>
      <c r="I26" s="48" t="s">
        <v>23</v>
      </c>
      <c r="J26" s="48" t="s">
        <v>24</v>
      </c>
      <c r="K26" s="49" t="s">
        <v>25</v>
      </c>
      <c r="L26" s="12">
        <v>43437</v>
      </c>
      <c r="M26">
        <v>43437</v>
      </c>
      <c r="N26"/>
      <c r="P26" s="140" t="s">
        <v>5</v>
      </c>
      <c r="Q26" s="139" t="s">
        <v>26</v>
      </c>
      <c r="R26" s="139" t="s">
        <v>27</v>
      </c>
      <c r="S26" s="158" t="s">
        <v>25</v>
      </c>
      <c r="T26" s="158" t="s">
        <v>196</v>
      </c>
      <c r="U26" s="158" t="s">
        <v>195</v>
      </c>
      <c r="V26" s="159" t="s">
        <v>193</v>
      </c>
      <c r="W26" s="159" t="s">
        <v>194</v>
      </c>
      <c r="X26" s="138" t="s">
        <v>32</v>
      </c>
      <c r="Y26" s="138" t="s">
        <v>32</v>
      </c>
    </row>
    <row r="27" spans="1:25" ht="17.399999999999999" x14ac:dyDescent="0.35">
      <c r="C27" s="56" t="s">
        <v>77</v>
      </c>
      <c r="D27" s="58"/>
      <c r="E27" s="56">
        <v>1</v>
      </c>
      <c r="F27" s="58">
        <f t="shared" ref="F27:F91" si="23">SUMPRODUCT((HxA=$E27)*(COLUMN(HxA)))-COLUMN(HxA)+1</f>
        <v>10</v>
      </c>
      <c r="G27" s="58">
        <f>SUMPRODUCT((HxA=$E27)*(ROW(HxA)))-ROW(HxA)+1</f>
        <v>3</v>
      </c>
      <c r="H27" s="59" t="str">
        <f t="shared" ref="H27:H58" si="24">INDEX(HxA,G27,1)</f>
        <v>T_02</v>
      </c>
      <c r="I27" s="59" t="str">
        <f t="shared" ref="I27:I58" si="25">INDEX(HxA,1,F27)</f>
        <v>T_09</v>
      </c>
      <c r="J27" s="86">
        <v>1</v>
      </c>
      <c r="K27" s="87">
        <v>43832</v>
      </c>
      <c r="L27">
        <v>43437</v>
      </c>
      <c r="M27" s="12">
        <v>43437</v>
      </c>
      <c r="N27" s="12"/>
      <c r="O27"/>
      <c r="P27" s="122">
        <v>1</v>
      </c>
      <c r="Q27" s="122" t="str">
        <f t="shared" ref="Q27:Q58" ca="1" si="26">INDIRECT(H27)</f>
        <v>Bogense</v>
      </c>
      <c r="R27" s="122" t="str">
        <f t="shared" ref="R27:R58" ca="1" si="27">INDIRECT(I27)</f>
        <v>Indre By</v>
      </c>
      <c r="S27" s="141"/>
      <c r="T27" s="142" t="s">
        <v>33</v>
      </c>
      <c r="U27" s="152"/>
      <c r="V27" s="153"/>
      <c r="W27" s="154"/>
      <c r="X27" s="121" t="str">
        <f t="shared" ref="X27:X90" si="28">IF(ISNUMBER(V27)*ISNUMBER(W27),IF(V27&gt;W27,ptv, IF(V27=W27,ptu,ptt)),"-")</f>
        <v>-</v>
      </c>
      <c r="Y27" s="121" t="str">
        <f t="shared" ref="Y27:Y90" si="29">IF(ISNUMBER(V27)*ISNUMBER(W27),IF(X27=ptv,ptt,IF(X27=ptu,ptu,ptv)),"-")</f>
        <v>-</v>
      </c>
    </row>
    <row r="28" spans="1:25" ht="17.399999999999999" x14ac:dyDescent="0.35">
      <c r="C28" s="56" t="s">
        <v>78</v>
      </c>
      <c r="D28" s="57">
        <f t="shared" ref="D28:D91" si="30">OR(H28=H27,H28=I27,I28=H27,I28=I27)*1</f>
        <v>0</v>
      </c>
      <c r="E28" s="56">
        <v>2</v>
      </c>
      <c r="F28" s="58">
        <f t="shared" si="23"/>
        <v>9</v>
      </c>
      <c r="G28" s="58">
        <f t="shared" ref="G28:G91" si="31">SUMPRODUCT((HxA=$E28)*(ROW(HxA)))-ROW(HxA)+1</f>
        <v>4</v>
      </c>
      <c r="H28" s="59" t="str">
        <f t="shared" si="24"/>
        <v>T_03</v>
      </c>
      <c r="I28" s="59" t="str">
        <f t="shared" si="25"/>
        <v>T_08</v>
      </c>
      <c r="J28" s="59">
        <f>J27</f>
        <v>1</v>
      </c>
      <c r="K28" s="60">
        <f t="shared" ref="K28:K91" si="32">$K$27+J28</f>
        <v>43833</v>
      </c>
      <c r="L28">
        <v>43437</v>
      </c>
      <c r="M28">
        <v>43437</v>
      </c>
      <c r="O28"/>
      <c r="P28" s="122">
        <v>2</v>
      </c>
      <c r="Q28" s="122" t="str">
        <f t="shared" ca="1" si="26"/>
        <v>Christiansfelt</v>
      </c>
      <c r="R28" s="122" t="str">
        <f t="shared" ca="1" si="27"/>
        <v>Holeby</v>
      </c>
      <c r="S28" s="134"/>
      <c r="T28" s="123" t="str">
        <f>IFERROR(T27+mMin,"-")</f>
        <v>-</v>
      </c>
      <c r="U28" s="146"/>
      <c r="V28" s="147"/>
      <c r="W28" s="148"/>
      <c r="X28" s="121" t="str">
        <f t="shared" si="28"/>
        <v>-</v>
      </c>
      <c r="Y28" s="121" t="str">
        <f t="shared" si="29"/>
        <v>-</v>
      </c>
    </row>
    <row r="29" spans="1:25" ht="17.399999999999999" x14ac:dyDescent="0.35">
      <c r="C29" s="56" t="s">
        <v>79</v>
      </c>
      <c r="D29" s="57">
        <f t="shared" si="30"/>
        <v>0</v>
      </c>
      <c r="E29" s="56">
        <v>3</v>
      </c>
      <c r="F29" s="58">
        <f t="shared" si="23"/>
        <v>8</v>
      </c>
      <c r="G29" s="58">
        <f t="shared" si="31"/>
        <v>5</v>
      </c>
      <c r="H29" s="59" t="str">
        <f t="shared" si="24"/>
        <v>T_04</v>
      </c>
      <c r="I29" s="59" t="str">
        <f t="shared" si="25"/>
        <v>T_07</v>
      </c>
      <c r="J29" s="59">
        <f t="shared" ref="J29:J31" si="33">J28</f>
        <v>1</v>
      </c>
      <c r="K29" s="60">
        <f t="shared" si="32"/>
        <v>43833</v>
      </c>
      <c r="L29">
        <v>43437</v>
      </c>
      <c r="M29">
        <v>43437</v>
      </c>
      <c r="O29"/>
      <c r="P29" s="122">
        <v>3</v>
      </c>
      <c r="Q29" s="122" t="str">
        <f t="shared" ca="1" si="26"/>
        <v>Dragør</v>
      </c>
      <c r="R29" s="122" t="str">
        <f t="shared" ca="1" si="27"/>
        <v>Glamsbjerg</v>
      </c>
      <c r="S29" s="134"/>
      <c r="T29" s="123" t="str">
        <f>IFERROR(T28+mMin,"-")</f>
        <v>-</v>
      </c>
      <c r="U29" s="146"/>
      <c r="V29" s="147"/>
      <c r="W29" s="148"/>
      <c r="X29" s="121" t="str">
        <f t="shared" si="28"/>
        <v>-</v>
      </c>
      <c r="Y29" s="121" t="str">
        <f t="shared" si="29"/>
        <v>-</v>
      </c>
    </row>
    <row r="30" spans="1:25" ht="18" thickBot="1" x14ac:dyDescent="0.4">
      <c r="C30" s="67" t="s">
        <v>80</v>
      </c>
      <c r="D30" s="66">
        <f t="shared" si="30"/>
        <v>0</v>
      </c>
      <c r="E30" s="67">
        <v>4</v>
      </c>
      <c r="F30" s="68">
        <f t="shared" si="23"/>
        <v>7</v>
      </c>
      <c r="G30" s="68">
        <f t="shared" si="31"/>
        <v>6</v>
      </c>
      <c r="H30" s="69" t="str">
        <f t="shared" si="24"/>
        <v>T_05</v>
      </c>
      <c r="I30" s="69" t="str">
        <f t="shared" si="25"/>
        <v>T_06</v>
      </c>
      <c r="J30" s="69">
        <f t="shared" si="33"/>
        <v>1</v>
      </c>
      <c r="K30" s="70">
        <f t="shared" si="32"/>
        <v>43833</v>
      </c>
      <c r="L30">
        <v>43437</v>
      </c>
      <c r="M30">
        <v>43437</v>
      </c>
      <c r="O30"/>
      <c r="P30" s="124">
        <v>4</v>
      </c>
      <c r="Q30" s="124" t="str">
        <f t="shared" ca="1" si="26"/>
        <v>Ejby</v>
      </c>
      <c r="R30" s="124" t="str">
        <f t="shared" ca="1" si="27"/>
        <v>Fjerritslev</v>
      </c>
      <c r="S30" s="135"/>
      <c r="T30" s="125" t="str">
        <f>IFERROR(T29+mMin,"-")</f>
        <v>-</v>
      </c>
      <c r="U30" s="149"/>
      <c r="V30" s="150"/>
      <c r="W30" s="151"/>
      <c r="X30" s="126" t="str">
        <f t="shared" si="28"/>
        <v>-</v>
      </c>
      <c r="Y30" s="126" t="str">
        <f t="shared" si="29"/>
        <v>-</v>
      </c>
    </row>
    <row r="31" spans="1:25" ht="17.399999999999999" x14ac:dyDescent="0.35">
      <c r="C31" s="63" t="s">
        <v>81</v>
      </c>
      <c r="D31" s="62">
        <f t="shared" si="30"/>
        <v>0</v>
      </c>
      <c r="E31" s="63">
        <v>5</v>
      </c>
      <c r="F31" s="51">
        <f t="shared" si="23"/>
        <v>2</v>
      </c>
      <c r="G31" s="51">
        <f t="shared" si="31"/>
        <v>10</v>
      </c>
      <c r="H31" s="64" t="str">
        <f t="shared" si="24"/>
        <v>T_09</v>
      </c>
      <c r="I31" s="64" t="str">
        <f t="shared" si="25"/>
        <v>T_01</v>
      </c>
      <c r="J31" s="64">
        <f t="shared" si="33"/>
        <v>1</v>
      </c>
      <c r="K31" s="65">
        <f t="shared" si="32"/>
        <v>43833</v>
      </c>
      <c r="L31">
        <v>43437</v>
      </c>
      <c r="M31">
        <v>43437</v>
      </c>
      <c r="O31"/>
      <c r="P31" s="160">
        <v>5</v>
      </c>
      <c r="Q31" s="160" t="str">
        <f t="shared" ca="1" si="26"/>
        <v>Indre By</v>
      </c>
      <c r="R31" s="160" t="str">
        <f t="shared" ca="1" si="27"/>
        <v>Assens</v>
      </c>
      <c r="S31" s="161"/>
      <c r="T31" s="162" t="s">
        <v>33</v>
      </c>
      <c r="U31" s="163"/>
      <c r="V31" s="164"/>
      <c r="W31" s="165"/>
      <c r="X31" s="166" t="str">
        <f t="shared" si="28"/>
        <v>-</v>
      </c>
      <c r="Y31" s="166" t="str">
        <f t="shared" si="29"/>
        <v>-</v>
      </c>
    </row>
    <row r="32" spans="1:25" ht="17.399999999999999" x14ac:dyDescent="0.35">
      <c r="C32" s="56" t="s">
        <v>83</v>
      </c>
      <c r="D32" s="57">
        <f t="shared" si="30"/>
        <v>0</v>
      </c>
      <c r="E32" s="56">
        <v>6</v>
      </c>
      <c r="F32" s="58">
        <f t="shared" si="23"/>
        <v>8</v>
      </c>
      <c r="G32" s="58">
        <f t="shared" si="31"/>
        <v>3</v>
      </c>
      <c r="H32" s="59" t="str">
        <f t="shared" si="24"/>
        <v>T_02</v>
      </c>
      <c r="I32" s="59" t="str">
        <f t="shared" si="25"/>
        <v>T_07</v>
      </c>
      <c r="J32" s="59">
        <f>J27+1</f>
        <v>2</v>
      </c>
      <c r="K32" s="60">
        <f t="shared" si="32"/>
        <v>43834</v>
      </c>
      <c r="L32">
        <v>43437</v>
      </c>
      <c r="M32">
        <v>43437</v>
      </c>
      <c r="O32"/>
      <c r="P32" s="122">
        <v>6</v>
      </c>
      <c r="Q32" s="122" t="str">
        <f t="shared" ca="1" si="26"/>
        <v>Bogense</v>
      </c>
      <c r="R32" s="122" t="str">
        <f t="shared" ca="1" si="27"/>
        <v>Glamsbjerg</v>
      </c>
      <c r="S32" s="134"/>
      <c r="T32" s="123" t="str">
        <f>IFERROR(T31+mMin,"-")</f>
        <v>-</v>
      </c>
      <c r="U32" s="146"/>
      <c r="V32" s="147"/>
      <c r="W32" s="148"/>
      <c r="X32" s="121" t="str">
        <f t="shared" si="28"/>
        <v>-</v>
      </c>
      <c r="Y32" s="121" t="str">
        <f t="shared" si="29"/>
        <v>-</v>
      </c>
    </row>
    <row r="33" spans="3:25" ht="17.399999999999999" x14ac:dyDescent="0.35">
      <c r="C33" s="56" t="s">
        <v>84</v>
      </c>
      <c r="D33" s="57">
        <f t="shared" si="30"/>
        <v>0</v>
      </c>
      <c r="E33" s="56">
        <v>7</v>
      </c>
      <c r="F33" s="58">
        <f t="shared" si="23"/>
        <v>7</v>
      </c>
      <c r="G33" s="58">
        <f t="shared" si="31"/>
        <v>4</v>
      </c>
      <c r="H33" s="59" t="str">
        <f t="shared" si="24"/>
        <v>T_03</v>
      </c>
      <c r="I33" s="59" t="str">
        <f t="shared" si="25"/>
        <v>T_06</v>
      </c>
      <c r="J33" s="59">
        <f>J32</f>
        <v>2</v>
      </c>
      <c r="K33" s="60">
        <f t="shared" si="32"/>
        <v>43834</v>
      </c>
      <c r="L33">
        <v>43437</v>
      </c>
      <c r="M33">
        <v>43437</v>
      </c>
      <c r="O33"/>
      <c r="P33" s="122">
        <v>7</v>
      </c>
      <c r="Q33" s="122" t="str">
        <f t="shared" ca="1" si="26"/>
        <v>Christiansfelt</v>
      </c>
      <c r="R33" s="122" t="str">
        <f t="shared" ca="1" si="27"/>
        <v>Fjerritslev</v>
      </c>
      <c r="S33" s="134"/>
      <c r="T33" s="123" t="str">
        <f>IFERROR(T32+mMin,"-")</f>
        <v>-</v>
      </c>
      <c r="U33" s="146"/>
      <c r="V33" s="147"/>
      <c r="W33" s="148"/>
      <c r="X33" s="121" t="str">
        <f t="shared" si="28"/>
        <v>-</v>
      </c>
      <c r="Y33" s="121" t="str">
        <f t="shared" si="29"/>
        <v>-</v>
      </c>
    </row>
    <row r="34" spans="3:25" ht="18" thickBot="1" x14ac:dyDescent="0.4">
      <c r="C34" s="67" t="s">
        <v>85</v>
      </c>
      <c r="D34" s="66">
        <f t="shared" si="30"/>
        <v>0</v>
      </c>
      <c r="E34" s="67">
        <v>8</v>
      </c>
      <c r="F34" s="68">
        <f t="shared" si="23"/>
        <v>6</v>
      </c>
      <c r="G34" s="68">
        <f t="shared" si="31"/>
        <v>5</v>
      </c>
      <c r="H34" s="69" t="str">
        <f t="shared" si="24"/>
        <v>T_04</v>
      </c>
      <c r="I34" s="69" t="str">
        <f t="shared" si="25"/>
        <v>T_05</v>
      </c>
      <c r="J34" s="69">
        <f t="shared" ref="J34:J36" si="34">J33</f>
        <v>2</v>
      </c>
      <c r="K34" s="70">
        <f t="shared" si="32"/>
        <v>43834</v>
      </c>
      <c r="L34">
        <v>43437</v>
      </c>
      <c r="M34">
        <v>43437</v>
      </c>
      <c r="O34"/>
      <c r="P34" s="124">
        <v>8</v>
      </c>
      <c r="Q34" s="124" t="str">
        <f t="shared" ca="1" si="26"/>
        <v>Dragør</v>
      </c>
      <c r="R34" s="124" t="str">
        <f t="shared" ca="1" si="27"/>
        <v>Ejby</v>
      </c>
      <c r="S34" s="135"/>
      <c r="T34" s="125" t="str">
        <f>IFERROR(T33+mMin,"-")</f>
        <v>-</v>
      </c>
      <c r="U34" s="149"/>
      <c r="V34" s="150"/>
      <c r="W34" s="151"/>
      <c r="X34" s="126" t="str">
        <f t="shared" si="28"/>
        <v>-</v>
      </c>
      <c r="Y34" s="126" t="str">
        <f t="shared" si="29"/>
        <v>-</v>
      </c>
    </row>
    <row r="35" spans="3:25" ht="17.399999999999999" x14ac:dyDescent="0.35">
      <c r="C35" s="63" t="s">
        <v>86</v>
      </c>
      <c r="D35" s="62">
        <f t="shared" si="30"/>
        <v>0</v>
      </c>
      <c r="E35" s="63">
        <v>9</v>
      </c>
      <c r="F35" s="51">
        <f t="shared" si="23"/>
        <v>9</v>
      </c>
      <c r="G35" s="51">
        <f t="shared" si="31"/>
        <v>2</v>
      </c>
      <c r="H35" s="64" t="str">
        <f t="shared" si="24"/>
        <v>T_01</v>
      </c>
      <c r="I35" s="64" t="str">
        <f t="shared" si="25"/>
        <v>T_08</v>
      </c>
      <c r="J35" s="64">
        <f t="shared" si="34"/>
        <v>2</v>
      </c>
      <c r="K35" s="65">
        <f t="shared" si="32"/>
        <v>43834</v>
      </c>
      <c r="L35">
        <v>43437</v>
      </c>
      <c r="M35">
        <v>43437</v>
      </c>
      <c r="O35"/>
      <c r="P35" s="160">
        <v>9</v>
      </c>
      <c r="Q35" s="160" t="str">
        <f t="shared" ca="1" si="26"/>
        <v>Assens</v>
      </c>
      <c r="R35" s="160" t="str">
        <f t="shared" ca="1" si="27"/>
        <v>Holeby</v>
      </c>
      <c r="S35" s="161"/>
      <c r="T35" s="162" t="s">
        <v>33</v>
      </c>
      <c r="U35" s="163"/>
      <c r="V35" s="164"/>
      <c r="W35" s="165"/>
      <c r="X35" s="166" t="str">
        <f t="shared" si="28"/>
        <v>-</v>
      </c>
      <c r="Y35" s="166" t="str">
        <f t="shared" si="29"/>
        <v>-</v>
      </c>
    </row>
    <row r="36" spans="3:25" ht="17.399999999999999" x14ac:dyDescent="0.35">
      <c r="C36" s="56" t="s">
        <v>87</v>
      </c>
      <c r="D36" s="57">
        <f t="shared" si="30"/>
        <v>0</v>
      </c>
      <c r="E36" s="56">
        <v>10</v>
      </c>
      <c r="F36" s="58">
        <f t="shared" si="23"/>
        <v>8</v>
      </c>
      <c r="G36" s="58">
        <f t="shared" si="31"/>
        <v>10</v>
      </c>
      <c r="H36" s="59" t="str">
        <f t="shared" si="24"/>
        <v>T_09</v>
      </c>
      <c r="I36" s="59" t="str">
        <f t="shared" si="25"/>
        <v>T_07</v>
      </c>
      <c r="J36" s="59">
        <f t="shared" si="34"/>
        <v>2</v>
      </c>
      <c r="K36" s="60">
        <f t="shared" si="32"/>
        <v>43834</v>
      </c>
      <c r="L36">
        <v>43437</v>
      </c>
      <c r="M36">
        <v>43437</v>
      </c>
      <c r="O36"/>
      <c r="P36" s="122">
        <v>10</v>
      </c>
      <c r="Q36" s="122" t="str">
        <f t="shared" ca="1" si="26"/>
        <v>Indre By</v>
      </c>
      <c r="R36" s="122" t="str">
        <f t="shared" ca="1" si="27"/>
        <v>Glamsbjerg</v>
      </c>
      <c r="S36" s="134"/>
      <c r="T36" s="123" t="str">
        <f>IFERROR(T35+mMin,"-")</f>
        <v>-</v>
      </c>
      <c r="U36" s="146"/>
      <c r="V36" s="147"/>
      <c r="W36" s="148"/>
      <c r="X36" s="121" t="str">
        <f t="shared" si="28"/>
        <v>-</v>
      </c>
      <c r="Y36" s="121" t="str">
        <f t="shared" si="29"/>
        <v>-</v>
      </c>
    </row>
    <row r="37" spans="3:25" ht="17.399999999999999" x14ac:dyDescent="0.35">
      <c r="C37" s="56" t="s">
        <v>89</v>
      </c>
      <c r="D37" s="57">
        <f t="shared" si="30"/>
        <v>0</v>
      </c>
      <c r="E37" s="56">
        <v>11</v>
      </c>
      <c r="F37" s="58">
        <f t="shared" si="23"/>
        <v>6</v>
      </c>
      <c r="G37" s="58">
        <f t="shared" si="31"/>
        <v>3</v>
      </c>
      <c r="H37" s="59" t="str">
        <f t="shared" si="24"/>
        <v>T_02</v>
      </c>
      <c r="I37" s="59" t="str">
        <f t="shared" si="25"/>
        <v>T_05</v>
      </c>
      <c r="J37" s="59">
        <f>J32+1</f>
        <v>3</v>
      </c>
      <c r="K37" s="60">
        <f t="shared" si="32"/>
        <v>43835</v>
      </c>
      <c r="L37">
        <v>43437</v>
      </c>
      <c r="M37">
        <v>43437</v>
      </c>
      <c r="O37"/>
      <c r="P37" s="122">
        <v>11</v>
      </c>
      <c r="Q37" s="122" t="str">
        <f t="shared" ca="1" si="26"/>
        <v>Bogense</v>
      </c>
      <c r="R37" s="122" t="str">
        <f t="shared" ca="1" si="27"/>
        <v>Ejby</v>
      </c>
      <c r="S37" s="134"/>
      <c r="T37" s="123" t="str">
        <f>IFERROR(T36+mMin,"-")</f>
        <v>-</v>
      </c>
      <c r="U37" s="146"/>
      <c r="V37" s="147"/>
      <c r="W37" s="148"/>
      <c r="X37" s="121" t="str">
        <f t="shared" si="28"/>
        <v>-</v>
      </c>
      <c r="Y37" s="121" t="str">
        <f t="shared" si="29"/>
        <v>-</v>
      </c>
    </row>
    <row r="38" spans="3:25" ht="18" thickBot="1" x14ac:dyDescent="0.4">
      <c r="C38" s="67" t="s">
        <v>90</v>
      </c>
      <c r="D38" s="66">
        <f t="shared" si="30"/>
        <v>0</v>
      </c>
      <c r="E38" s="67">
        <v>12</v>
      </c>
      <c r="F38" s="68">
        <f t="shared" si="23"/>
        <v>5</v>
      </c>
      <c r="G38" s="68">
        <f t="shared" si="31"/>
        <v>4</v>
      </c>
      <c r="H38" s="69" t="str">
        <f t="shared" si="24"/>
        <v>T_03</v>
      </c>
      <c r="I38" s="69" t="str">
        <f t="shared" si="25"/>
        <v>T_04</v>
      </c>
      <c r="J38" s="69">
        <f>J37</f>
        <v>3</v>
      </c>
      <c r="K38" s="70">
        <f t="shared" si="32"/>
        <v>43835</v>
      </c>
      <c r="L38">
        <v>43437</v>
      </c>
      <c r="M38">
        <v>43437</v>
      </c>
      <c r="O38"/>
      <c r="P38" s="124">
        <v>12</v>
      </c>
      <c r="Q38" s="124" t="str">
        <f t="shared" ca="1" si="26"/>
        <v>Christiansfelt</v>
      </c>
      <c r="R38" s="124" t="str">
        <f t="shared" ca="1" si="27"/>
        <v>Dragør</v>
      </c>
      <c r="S38" s="135"/>
      <c r="T38" s="125" t="str">
        <f>IFERROR(T37+mMin,"-")</f>
        <v>-</v>
      </c>
      <c r="U38" s="149"/>
      <c r="V38" s="150"/>
      <c r="W38" s="151"/>
      <c r="X38" s="126" t="str">
        <f t="shared" si="28"/>
        <v>-</v>
      </c>
      <c r="Y38" s="126" t="str">
        <f t="shared" si="29"/>
        <v>-</v>
      </c>
    </row>
    <row r="39" spans="3:25" ht="17.399999999999999" x14ac:dyDescent="0.35">
      <c r="C39" s="63" t="s">
        <v>91</v>
      </c>
      <c r="D39" s="62">
        <f t="shared" si="30"/>
        <v>0</v>
      </c>
      <c r="E39" s="63">
        <v>13</v>
      </c>
      <c r="F39" s="51">
        <f t="shared" si="23"/>
        <v>2</v>
      </c>
      <c r="G39" s="51">
        <f t="shared" si="31"/>
        <v>8</v>
      </c>
      <c r="H39" s="64" t="str">
        <f t="shared" si="24"/>
        <v>T_07</v>
      </c>
      <c r="I39" s="64" t="str">
        <f t="shared" si="25"/>
        <v>T_01</v>
      </c>
      <c r="J39" s="64">
        <f t="shared" ref="J39:J41" si="35">J38</f>
        <v>3</v>
      </c>
      <c r="K39" s="65">
        <f t="shared" si="32"/>
        <v>43835</v>
      </c>
      <c r="L39">
        <v>43437</v>
      </c>
      <c r="M39">
        <v>43437</v>
      </c>
      <c r="O39"/>
      <c r="P39" s="160">
        <v>13</v>
      </c>
      <c r="Q39" s="160" t="str">
        <f t="shared" ca="1" si="26"/>
        <v>Glamsbjerg</v>
      </c>
      <c r="R39" s="160" t="str">
        <f t="shared" ca="1" si="27"/>
        <v>Assens</v>
      </c>
      <c r="S39" s="161"/>
      <c r="T39" s="162" t="s">
        <v>33</v>
      </c>
      <c r="U39" s="163"/>
      <c r="V39" s="164"/>
      <c r="W39" s="165"/>
      <c r="X39" s="166" t="str">
        <f t="shared" si="28"/>
        <v>-</v>
      </c>
      <c r="Y39" s="166" t="str">
        <f t="shared" si="29"/>
        <v>-</v>
      </c>
    </row>
    <row r="40" spans="3:25" ht="17.399999999999999" x14ac:dyDescent="0.35">
      <c r="C40" s="56" t="s">
        <v>92</v>
      </c>
      <c r="D40" s="57">
        <f t="shared" si="30"/>
        <v>0</v>
      </c>
      <c r="E40" s="56">
        <v>14</v>
      </c>
      <c r="F40" s="58">
        <f t="shared" si="23"/>
        <v>7</v>
      </c>
      <c r="G40" s="58">
        <f t="shared" si="31"/>
        <v>9</v>
      </c>
      <c r="H40" s="59" t="str">
        <f t="shared" si="24"/>
        <v>T_08</v>
      </c>
      <c r="I40" s="59" t="str">
        <f t="shared" si="25"/>
        <v>T_06</v>
      </c>
      <c r="J40" s="59">
        <f t="shared" si="35"/>
        <v>3</v>
      </c>
      <c r="K40" s="60">
        <f t="shared" si="32"/>
        <v>43835</v>
      </c>
      <c r="L40">
        <v>43437</v>
      </c>
      <c r="M40">
        <v>43437</v>
      </c>
      <c r="O40"/>
      <c r="P40" s="122">
        <v>14</v>
      </c>
      <c r="Q40" s="122" t="str">
        <f t="shared" ca="1" si="26"/>
        <v>Holeby</v>
      </c>
      <c r="R40" s="122" t="str">
        <f t="shared" ca="1" si="27"/>
        <v>Fjerritslev</v>
      </c>
      <c r="S40" s="134"/>
      <c r="T40" s="123" t="str">
        <f>IFERROR(T39+mMin,"-")</f>
        <v>-</v>
      </c>
      <c r="U40" s="146"/>
      <c r="V40" s="147"/>
      <c r="W40" s="148"/>
      <c r="X40" s="121" t="str">
        <f t="shared" si="28"/>
        <v>-</v>
      </c>
      <c r="Y40" s="121" t="str">
        <f t="shared" si="29"/>
        <v>-</v>
      </c>
    </row>
    <row r="41" spans="3:25" ht="17.399999999999999" x14ac:dyDescent="0.35">
      <c r="C41" s="56" t="s">
        <v>93</v>
      </c>
      <c r="D41" s="57">
        <f t="shared" si="30"/>
        <v>0</v>
      </c>
      <c r="E41" s="56">
        <v>15</v>
      </c>
      <c r="F41" s="58">
        <f t="shared" si="23"/>
        <v>6</v>
      </c>
      <c r="G41" s="58">
        <f t="shared" si="31"/>
        <v>10</v>
      </c>
      <c r="H41" s="59" t="str">
        <f t="shared" si="24"/>
        <v>T_09</v>
      </c>
      <c r="I41" s="59" t="str">
        <f t="shared" si="25"/>
        <v>T_05</v>
      </c>
      <c r="J41" s="59">
        <f t="shared" si="35"/>
        <v>3</v>
      </c>
      <c r="K41" s="60">
        <f t="shared" si="32"/>
        <v>43835</v>
      </c>
      <c r="L41">
        <v>43437</v>
      </c>
      <c r="M41">
        <v>43437</v>
      </c>
      <c r="O41"/>
      <c r="P41" s="122">
        <v>15</v>
      </c>
      <c r="Q41" s="122" t="str">
        <f t="shared" ca="1" si="26"/>
        <v>Indre By</v>
      </c>
      <c r="R41" s="122" t="str">
        <f t="shared" ca="1" si="27"/>
        <v>Ejby</v>
      </c>
      <c r="S41" s="134"/>
      <c r="T41" s="123" t="str">
        <f>IFERROR(T40+mMin,"-")</f>
        <v>-</v>
      </c>
      <c r="U41" s="146"/>
      <c r="V41" s="147"/>
      <c r="W41" s="148"/>
      <c r="X41" s="121" t="str">
        <f t="shared" si="28"/>
        <v>-</v>
      </c>
      <c r="Y41" s="121" t="str">
        <f t="shared" si="29"/>
        <v>-</v>
      </c>
    </row>
    <row r="42" spans="3:25" ht="18" thickBot="1" x14ac:dyDescent="0.4">
      <c r="C42" s="67" t="s">
        <v>95</v>
      </c>
      <c r="D42" s="66">
        <f t="shared" si="30"/>
        <v>0</v>
      </c>
      <c r="E42" s="67">
        <v>16</v>
      </c>
      <c r="F42" s="68">
        <f t="shared" si="23"/>
        <v>4</v>
      </c>
      <c r="G42" s="68">
        <f t="shared" si="31"/>
        <v>3</v>
      </c>
      <c r="H42" s="69" t="str">
        <f t="shared" si="24"/>
        <v>T_02</v>
      </c>
      <c r="I42" s="69" t="str">
        <f t="shared" si="25"/>
        <v>T_03</v>
      </c>
      <c r="J42" s="69">
        <f t="shared" ref="J42" si="36">J37+1</f>
        <v>4</v>
      </c>
      <c r="K42" s="70">
        <f t="shared" si="32"/>
        <v>43836</v>
      </c>
      <c r="L42">
        <v>43437</v>
      </c>
      <c r="M42">
        <v>43437</v>
      </c>
      <c r="O42"/>
      <c r="P42" s="124">
        <v>16</v>
      </c>
      <c r="Q42" s="124" t="str">
        <f t="shared" ca="1" si="26"/>
        <v>Bogense</v>
      </c>
      <c r="R42" s="124" t="str">
        <f t="shared" ca="1" si="27"/>
        <v>Christiansfelt</v>
      </c>
      <c r="S42" s="135"/>
      <c r="T42" s="125" t="str">
        <f>IFERROR(T41+mMin,"-")</f>
        <v>-</v>
      </c>
      <c r="U42" s="149"/>
      <c r="V42" s="150"/>
      <c r="W42" s="151"/>
      <c r="X42" s="126" t="str">
        <f t="shared" si="28"/>
        <v>-</v>
      </c>
      <c r="Y42" s="126" t="str">
        <f t="shared" si="29"/>
        <v>-</v>
      </c>
    </row>
    <row r="43" spans="3:25" ht="17.399999999999999" x14ac:dyDescent="0.35">
      <c r="C43" s="63" t="s">
        <v>96</v>
      </c>
      <c r="D43" s="62">
        <f t="shared" si="30"/>
        <v>0</v>
      </c>
      <c r="E43" s="63">
        <v>17</v>
      </c>
      <c r="F43" s="51">
        <f t="shared" si="23"/>
        <v>7</v>
      </c>
      <c r="G43" s="51">
        <f t="shared" si="31"/>
        <v>2</v>
      </c>
      <c r="H43" s="64" t="str">
        <f t="shared" si="24"/>
        <v>T_01</v>
      </c>
      <c r="I43" s="64" t="str">
        <f t="shared" si="25"/>
        <v>T_06</v>
      </c>
      <c r="J43" s="64">
        <f t="shared" ref="J43:J96" si="37">J42</f>
        <v>4</v>
      </c>
      <c r="K43" s="65">
        <f t="shared" si="32"/>
        <v>43836</v>
      </c>
      <c r="L43">
        <v>43437</v>
      </c>
      <c r="M43">
        <v>43437</v>
      </c>
      <c r="O43"/>
      <c r="P43" s="160">
        <v>17</v>
      </c>
      <c r="Q43" s="160" t="str">
        <f t="shared" ca="1" si="26"/>
        <v>Assens</v>
      </c>
      <c r="R43" s="160" t="str">
        <f t="shared" ca="1" si="27"/>
        <v>Fjerritslev</v>
      </c>
      <c r="S43" s="161"/>
      <c r="T43" s="162" t="s">
        <v>33</v>
      </c>
      <c r="U43" s="163"/>
      <c r="V43" s="164"/>
      <c r="W43" s="165"/>
      <c r="X43" s="166" t="str">
        <f t="shared" si="28"/>
        <v>-</v>
      </c>
      <c r="Y43" s="166" t="str">
        <f t="shared" si="29"/>
        <v>-</v>
      </c>
    </row>
    <row r="44" spans="3:25" ht="17.399999999999999" x14ac:dyDescent="0.35">
      <c r="C44" s="56" t="s">
        <v>97</v>
      </c>
      <c r="D44" s="57">
        <f t="shared" si="30"/>
        <v>0</v>
      </c>
      <c r="E44" s="56">
        <v>18</v>
      </c>
      <c r="F44" s="58">
        <f t="shared" si="23"/>
        <v>6</v>
      </c>
      <c r="G44" s="58">
        <f t="shared" si="31"/>
        <v>8</v>
      </c>
      <c r="H44" s="59" t="str">
        <f t="shared" si="24"/>
        <v>T_07</v>
      </c>
      <c r="I44" s="59" t="str">
        <f t="shared" si="25"/>
        <v>T_05</v>
      </c>
      <c r="J44" s="59">
        <f t="shared" si="37"/>
        <v>4</v>
      </c>
      <c r="K44" s="60">
        <f t="shared" si="32"/>
        <v>43836</v>
      </c>
      <c r="L44">
        <v>43437</v>
      </c>
      <c r="M44">
        <v>43437</v>
      </c>
      <c r="O44"/>
      <c r="P44" s="122">
        <v>18</v>
      </c>
      <c r="Q44" s="122" t="str">
        <f t="shared" ca="1" si="26"/>
        <v>Glamsbjerg</v>
      </c>
      <c r="R44" s="122" t="str">
        <f t="shared" ca="1" si="27"/>
        <v>Ejby</v>
      </c>
      <c r="S44" s="134"/>
      <c r="T44" s="123" t="str">
        <f>IFERROR(T43+mMin,"-")</f>
        <v>-</v>
      </c>
      <c r="U44" s="146"/>
      <c r="V44" s="147"/>
      <c r="W44" s="148"/>
      <c r="X44" s="121" t="str">
        <f t="shared" si="28"/>
        <v>-</v>
      </c>
      <c r="Y44" s="121" t="str">
        <f t="shared" si="29"/>
        <v>-</v>
      </c>
    </row>
    <row r="45" spans="3:25" ht="17.399999999999999" x14ac:dyDescent="0.35">
      <c r="C45" s="56" t="s">
        <v>98</v>
      </c>
      <c r="D45" s="57">
        <f t="shared" si="30"/>
        <v>0</v>
      </c>
      <c r="E45" s="56">
        <v>19</v>
      </c>
      <c r="F45" s="58">
        <f t="shared" si="23"/>
        <v>5</v>
      </c>
      <c r="G45" s="58">
        <f t="shared" si="31"/>
        <v>9</v>
      </c>
      <c r="H45" s="59" t="str">
        <f t="shared" si="24"/>
        <v>T_08</v>
      </c>
      <c r="I45" s="59" t="str">
        <f t="shared" si="25"/>
        <v>T_04</v>
      </c>
      <c r="J45" s="59">
        <f t="shared" si="37"/>
        <v>4</v>
      </c>
      <c r="K45" s="60">
        <f t="shared" si="32"/>
        <v>43836</v>
      </c>
      <c r="L45">
        <v>43437</v>
      </c>
      <c r="M45">
        <v>43437</v>
      </c>
      <c r="O45"/>
      <c r="P45" s="122">
        <v>19</v>
      </c>
      <c r="Q45" s="122" t="str">
        <f t="shared" ca="1" si="26"/>
        <v>Holeby</v>
      </c>
      <c r="R45" s="122" t="str">
        <f t="shared" ca="1" si="27"/>
        <v>Dragør</v>
      </c>
      <c r="S45" s="134"/>
      <c r="T45" s="123" t="str">
        <f>IFERROR(T44+mMin,"-")</f>
        <v>-</v>
      </c>
      <c r="U45" s="146"/>
      <c r="V45" s="147"/>
      <c r="W45" s="148"/>
      <c r="X45" s="121" t="str">
        <f t="shared" si="28"/>
        <v>-</v>
      </c>
      <c r="Y45" s="121" t="str">
        <f t="shared" si="29"/>
        <v>-</v>
      </c>
    </row>
    <row r="46" spans="3:25" ht="18" thickBot="1" x14ac:dyDescent="0.4">
      <c r="C46" s="67" t="s">
        <v>99</v>
      </c>
      <c r="D46" s="66">
        <f t="shared" si="30"/>
        <v>0</v>
      </c>
      <c r="E46" s="67">
        <v>20</v>
      </c>
      <c r="F46" s="68">
        <f t="shared" si="23"/>
        <v>4</v>
      </c>
      <c r="G46" s="68">
        <f t="shared" si="31"/>
        <v>10</v>
      </c>
      <c r="H46" s="69" t="str">
        <f t="shared" si="24"/>
        <v>T_09</v>
      </c>
      <c r="I46" s="69" t="str">
        <f t="shared" si="25"/>
        <v>T_03</v>
      </c>
      <c r="J46" s="69">
        <f t="shared" si="37"/>
        <v>4</v>
      </c>
      <c r="K46" s="70">
        <f t="shared" si="32"/>
        <v>43836</v>
      </c>
      <c r="L46">
        <v>43437</v>
      </c>
      <c r="M46">
        <v>43437</v>
      </c>
      <c r="O46"/>
      <c r="P46" s="124">
        <v>20</v>
      </c>
      <c r="Q46" s="124" t="str">
        <f t="shared" ca="1" si="26"/>
        <v>Indre By</v>
      </c>
      <c r="R46" s="124" t="str">
        <f t="shared" ca="1" si="27"/>
        <v>Christiansfelt</v>
      </c>
      <c r="S46" s="135"/>
      <c r="T46" s="125" t="str">
        <f>IFERROR(T45+mMin,"-")</f>
        <v>-</v>
      </c>
      <c r="U46" s="149"/>
      <c r="V46" s="150"/>
      <c r="W46" s="151"/>
      <c r="X46" s="126" t="str">
        <f t="shared" si="28"/>
        <v>-</v>
      </c>
      <c r="Y46" s="126" t="str">
        <f t="shared" si="29"/>
        <v>-</v>
      </c>
    </row>
    <row r="47" spans="3:25" ht="17.399999999999999" x14ac:dyDescent="0.35">
      <c r="C47" s="63" t="s">
        <v>101</v>
      </c>
      <c r="D47" s="62">
        <f t="shared" si="30"/>
        <v>0</v>
      </c>
      <c r="E47" s="63">
        <v>21</v>
      </c>
      <c r="F47" s="51">
        <f t="shared" si="23"/>
        <v>2</v>
      </c>
      <c r="G47" s="51">
        <f t="shared" si="31"/>
        <v>6</v>
      </c>
      <c r="H47" s="64" t="str">
        <f t="shared" si="24"/>
        <v>T_05</v>
      </c>
      <c r="I47" s="64" t="str">
        <f t="shared" si="25"/>
        <v>T_01</v>
      </c>
      <c r="J47" s="64">
        <f t="shared" ref="J47" si="38">J42+1</f>
        <v>5</v>
      </c>
      <c r="K47" s="65">
        <f t="shared" si="32"/>
        <v>43837</v>
      </c>
      <c r="L47">
        <v>43437</v>
      </c>
      <c r="M47">
        <v>43437</v>
      </c>
      <c r="O47"/>
      <c r="P47" s="160">
        <v>21</v>
      </c>
      <c r="Q47" s="160" t="str">
        <f t="shared" ca="1" si="26"/>
        <v>Ejby</v>
      </c>
      <c r="R47" s="160" t="str">
        <f t="shared" ca="1" si="27"/>
        <v>Assens</v>
      </c>
      <c r="S47" s="161"/>
      <c r="T47" s="162" t="s">
        <v>33</v>
      </c>
      <c r="U47" s="163"/>
      <c r="V47" s="164"/>
      <c r="W47" s="165"/>
      <c r="X47" s="166" t="str">
        <f t="shared" si="28"/>
        <v>-</v>
      </c>
      <c r="Y47" s="166" t="str">
        <f t="shared" si="29"/>
        <v>-</v>
      </c>
    </row>
    <row r="48" spans="3:25" ht="17.399999999999999" x14ac:dyDescent="0.35">
      <c r="C48" s="56" t="s">
        <v>102</v>
      </c>
      <c r="D48" s="57">
        <f t="shared" si="30"/>
        <v>0</v>
      </c>
      <c r="E48" s="56">
        <v>22</v>
      </c>
      <c r="F48" s="58">
        <f t="shared" si="23"/>
        <v>5</v>
      </c>
      <c r="G48" s="58">
        <f t="shared" si="31"/>
        <v>7</v>
      </c>
      <c r="H48" s="59" t="str">
        <f t="shared" si="24"/>
        <v>T_06</v>
      </c>
      <c r="I48" s="59" t="str">
        <f t="shared" si="25"/>
        <v>T_04</v>
      </c>
      <c r="J48" s="59">
        <f t="shared" ref="J48" si="39">J47</f>
        <v>5</v>
      </c>
      <c r="K48" s="60">
        <f t="shared" si="32"/>
        <v>43837</v>
      </c>
      <c r="L48">
        <v>43437</v>
      </c>
      <c r="M48">
        <v>43437</v>
      </c>
      <c r="O48"/>
      <c r="P48" s="122">
        <v>22</v>
      </c>
      <c r="Q48" s="122" t="str">
        <f t="shared" ca="1" si="26"/>
        <v>Fjerritslev</v>
      </c>
      <c r="R48" s="122" t="str">
        <f t="shared" ca="1" si="27"/>
        <v>Dragør</v>
      </c>
      <c r="S48" s="134"/>
      <c r="T48" s="123" t="str">
        <f>IFERROR(T47+mMin,"-")</f>
        <v>-</v>
      </c>
      <c r="U48" s="146"/>
      <c r="V48" s="147"/>
      <c r="W48" s="148"/>
      <c r="X48" s="121" t="str">
        <f t="shared" si="28"/>
        <v>-</v>
      </c>
      <c r="Y48" s="121" t="str">
        <f t="shared" si="29"/>
        <v>-</v>
      </c>
    </row>
    <row r="49" spans="3:25" ht="17.399999999999999" x14ac:dyDescent="0.35">
      <c r="C49" s="56" t="s">
        <v>103</v>
      </c>
      <c r="D49" s="57">
        <f t="shared" si="30"/>
        <v>0</v>
      </c>
      <c r="E49" s="56">
        <v>23</v>
      </c>
      <c r="F49" s="58">
        <f t="shared" si="23"/>
        <v>4</v>
      </c>
      <c r="G49" s="58">
        <f t="shared" si="31"/>
        <v>8</v>
      </c>
      <c r="H49" s="59" t="str">
        <f t="shared" si="24"/>
        <v>T_07</v>
      </c>
      <c r="I49" s="59" t="str">
        <f t="shared" si="25"/>
        <v>T_03</v>
      </c>
      <c r="J49" s="59">
        <f t="shared" si="37"/>
        <v>5</v>
      </c>
      <c r="K49" s="60">
        <f t="shared" si="32"/>
        <v>43837</v>
      </c>
      <c r="L49">
        <v>43437</v>
      </c>
      <c r="M49">
        <v>43437</v>
      </c>
      <c r="O49"/>
      <c r="P49" s="122">
        <v>23</v>
      </c>
      <c r="Q49" s="122" t="str">
        <f t="shared" ca="1" si="26"/>
        <v>Glamsbjerg</v>
      </c>
      <c r="R49" s="122" t="str">
        <f t="shared" ca="1" si="27"/>
        <v>Christiansfelt</v>
      </c>
      <c r="S49" s="134"/>
      <c r="T49" s="123" t="str">
        <f>IFERROR(T48+mMin,"-")</f>
        <v>-</v>
      </c>
      <c r="U49" s="146"/>
      <c r="V49" s="147"/>
      <c r="W49" s="148"/>
      <c r="X49" s="121" t="str">
        <f t="shared" si="28"/>
        <v>-</v>
      </c>
      <c r="Y49" s="121" t="str">
        <f t="shared" si="29"/>
        <v>-</v>
      </c>
    </row>
    <row r="50" spans="3:25" ht="18" thickBot="1" x14ac:dyDescent="0.4">
      <c r="C50" s="67" t="s">
        <v>104</v>
      </c>
      <c r="D50" s="66">
        <f t="shared" si="30"/>
        <v>0</v>
      </c>
      <c r="E50" s="67">
        <v>24</v>
      </c>
      <c r="F50" s="68">
        <f t="shared" si="23"/>
        <v>3</v>
      </c>
      <c r="G50" s="68">
        <f t="shared" si="31"/>
        <v>9</v>
      </c>
      <c r="H50" s="69" t="str">
        <f t="shared" si="24"/>
        <v>T_08</v>
      </c>
      <c r="I50" s="69" t="str">
        <f t="shared" si="25"/>
        <v>T_02</v>
      </c>
      <c r="J50" s="69">
        <f t="shared" si="37"/>
        <v>5</v>
      </c>
      <c r="K50" s="70">
        <f t="shared" si="32"/>
        <v>43837</v>
      </c>
      <c r="L50">
        <v>43437</v>
      </c>
      <c r="M50">
        <v>43437</v>
      </c>
      <c r="O50"/>
      <c r="P50" s="124">
        <v>24</v>
      </c>
      <c r="Q50" s="124" t="str">
        <f t="shared" ca="1" si="26"/>
        <v>Holeby</v>
      </c>
      <c r="R50" s="124" t="str">
        <f t="shared" ca="1" si="27"/>
        <v>Bogense</v>
      </c>
      <c r="S50" s="135"/>
      <c r="T50" s="125" t="str">
        <f>IFERROR(T49+mMin,"-")</f>
        <v>-</v>
      </c>
      <c r="U50" s="149"/>
      <c r="V50" s="150"/>
      <c r="W50" s="151"/>
      <c r="X50" s="126" t="str">
        <f t="shared" si="28"/>
        <v>-</v>
      </c>
      <c r="Y50" s="126" t="str">
        <f t="shared" si="29"/>
        <v>-</v>
      </c>
    </row>
    <row r="51" spans="3:25" ht="17.399999999999999" x14ac:dyDescent="0.35">
      <c r="C51" s="63" t="s">
        <v>106</v>
      </c>
      <c r="D51" s="62">
        <f t="shared" si="30"/>
        <v>0</v>
      </c>
      <c r="E51" s="63">
        <v>25</v>
      </c>
      <c r="F51" s="51">
        <f t="shared" si="23"/>
        <v>5</v>
      </c>
      <c r="G51" s="51">
        <f t="shared" si="31"/>
        <v>2</v>
      </c>
      <c r="H51" s="64" t="str">
        <f t="shared" si="24"/>
        <v>T_01</v>
      </c>
      <c r="I51" s="64" t="str">
        <f t="shared" si="25"/>
        <v>T_04</v>
      </c>
      <c r="J51" s="64">
        <f t="shared" si="37"/>
        <v>5</v>
      </c>
      <c r="K51" s="65">
        <f t="shared" si="32"/>
        <v>43837</v>
      </c>
      <c r="L51">
        <v>43437</v>
      </c>
      <c r="M51">
        <v>43437</v>
      </c>
      <c r="O51"/>
      <c r="P51" s="160">
        <v>25</v>
      </c>
      <c r="Q51" s="160" t="str">
        <f t="shared" ca="1" si="26"/>
        <v>Assens</v>
      </c>
      <c r="R51" s="160" t="str">
        <f t="shared" ca="1" si="27"/>
        <v>Dragør</v>
      </c>
      <c r="S51" s="161"/>
      <c r="T51" s="162" t="s">
        <v>33</v>
      </c>
      <c r="U51" s="163"/>
      <c r="V51" s="164"/>
      <c r="W51" s="165"/>
      <c r="X51" s="166" t="str">
        <f t="shared" si="28"/>
        <v>-</v>
      </c>
      <c r="Y51" s="166" t="str">
        <f t="shared" si="29"/>
        <v>-</v>
      </c>
    </row>
    <row r="52" spans="3:25" ht="17.399999999999999" x14ac:dyDescent="0.35">
      <c r="C52" s="56" t="s">
        <v>107</v>
      </c>
      <c r="D52" s="57">
        <f t="shared" si="30"/>
        <v>0</v>
      </c>
      <c r="E52" s="56">
        <v>26</v>
      </c>
      <c r="F52" s="58">
        <f t="shared" si="23"/>
        <v>4</v>
      </c>
      <c r="G52" s="58">
        <f t="shared" si="31"/>
        <v>6</v>
      </c>
      <c r="H52" s="59" t="str">
        <f t="shared" si="24"/>
        <v>T_05</v>
      </c>
      <c r="I52" s="59" t="str">
        <f t="shared" si="25"/>
        <v>T_03</v>
      </c>
      <c r="J52" s="59">
        <f t="shared" ref="J52" si="40">J47+1</f>
        <v>6</v>
      </c>
      <c r="K52" s="60">
        <f t="shared" si="32"/>
        <v>43838</v>
      </c>
      <c r="L52">
        <v>43437</v>
      </c>
      <c r="M52">
        <v>43437</v>
      </c>
      <c r="O52"/>
      <c r="P52" s="122">
        <v>26</v>
      </c>
      <c r="Q52" s="122" t="str">
        <f t="shared" ca="1" si="26"/>
        <v>Ejby</v>
      </c>
      <c r="R52" s="122" t="str">
        <f t="shared" ca="1" si="27"/>
        <v>Christiansfelt</v>
      </c>
      <c r="S52" s="134"/>
      <c r="T52" s="123" t="str">
        <f>IFERROR(T51+mMin,"-")</f>
        <v>-</v>
      </c>
      <c r="U52" s="146"/>
      <c r="V52" s="147"/>
      <c r="W52" s="148"/>
      <c r="X52" s="121" t="str">
        <f t="shared" si="28"/>
        <v>-</v>
      </c>
      <c r="Y52" s="121" t="str">
        <f t="shared" si="29"/>
        <v>-</v>
      </c>
    </row>
    <row r="53" spans="3:25" ht="17.399999999999999" x14ac:dyDescent="0.35">
      <c r="C53" s="56" t="s">
        <v>108</v>
      </c>
      <c r="D53" s="57">
        <f t="shared" si="30"/>
        <v>0</v>
      </c>
      <c r="E53" s="56">
        <v>27</v>
      </c>
      <c r="F53" s="58">
        <f t="shared" si="23"/>
        <v>3</v>
      </c>
      <c r="G53" s="58">
        <f t="shared" si="31"/>
        <v>7</v>
      </c>
      <c r="H53" s="59" t="str">
        <f t="shared" si="24"/>
        <v>T_06</v>
      </c>
      <c r="I53" s="59" t="str">
        <f t="shared" si="25"/>
        <v>T_02</v>
      </c>
      <c r="J53" s="59">
        <f t="shared" ref="J53" si="41">J52</f>
        <v>6</v>
      </c>
      <c r="K53" s="60">
        <f t="shared" si="32"/>
        <v>43838</v>
      </c>
      <c r="L53">
        <v>43437</v>
      </c>
      <c r="M53">
        <v>43437</v>
      </c>
      <c r="O53"/>
      <c r="P53" s="122">
        <v>27</v>
      </c>
      <c r="Q53" s="122" t="str">
        <f t="shared" ca="1" si="26"/>
        <v>Fjerritslev</v>
      </c>
      <c r="R53" s="122" t="str">
        <f t="shared" ca="1" si="27"/>
        <v>Bogense</v>
      </c>
      <c r="S53" s="134"/>
      <c r="T53" s="123" t="str">
        <f>IFERROR(T52+mMin,"-")</f>
        <v>-</v>
      </c>
      <c r="U53" s="146"/>
      <c r="V53" s="147"/>
      <c r="W53" s="148"/>
      <c r="X53" s="121" t="str">
        <f t="shared" si="28"/>
        <v>-</v>
      </c>
      <c r="Y53" s="121" t="str">
        <f t="shared" si="29"/>
        <v>-</v>
      </c>
    </row>
    <row r="54" spans="3:25" ht="18" thickBot="1" x14ac:dyDescent="0.4">
      <c r="C54" s="67" t="s">
        <v>110</v>
      </c>
      <c r="D54" s="66">
        <f t="shared" si="30"/>
        <v>0</v>
      </c>
      <c r="E54" s="67">
        <v>28</v>
      </c>
      <c r="F54" s="68">
        <f t="shared" si="23"/>
        <v>10</v>
      </c>
      <c r="G54" s="68">
        <f t="shared" si="31"/>
        <v>9</v>
      </c>
      <c r="H54" s="69" t="str">
        <f t="shared" si="24"/>
        <v>T_08</v>
      </c>
      <c r="I54" s="69" t="str">
        <f t="shared" si="25"/>
        <v>T_09</v>
      </c>
      <c r="J54" s="69">
        <f t="shared" si="37"/>
        <v>6</v>
      </c>
      <c r="K54" s="70">
        <f t="shared" si="32"/>
        <v>43838</v>
      </c>
      <c r="L54">
        <v>43437</v>
      </c>
      <c r="M54">
        <v>43437</v>
      </c>
      <c r="O54"/>
      <c r="P54" s="124">
        <v>28</v>
      </c>
      <c r="Q54" s="124" t="str">
        <f t="shared" ca="1" si="26"/>
        <v>Holeby</v>
      </c>
      <c r="R54" s="124" t="str">
        <f t="shared" ca="1" si="27"/>
        <v>Indre By</v>
      </c>
      <c r="S54" s="135"/>
      <c r="T54" s="125" t="str">
        <f>IFERROR(T53+mMin,"-")</f>
        <v>-</v>
      </c>
      <c r="U54" s="149"/>
      <c r="V54" s="150"/>
      <c r="W54" s="151"/>
      <c r="X54" s="126" t="str">
        <f t="shared" si="28"/>
        <v>-</v>
      </c>
      <c r="Y54" s="126" t="str">
        <f t="shared" si="29"/>
        <v>-</v>
      </c>
    </row>
    <row r="55" spans="3:25" ht="17.399999999999999" x14ac:dyDescent="0.35">
      <c r="C55" s="63" t="s">
        <v>111</v>
      </c>
      <c r="D55" s="62">
        <f t="shared" si="30"/>
        <v>0</v>
      </c>
      <c r="E55" s="63">
        <v>29</v>
      </c>
      <c r="F55" s="51">
        <f t="shared" si="23"/>
        <v>2</v>
      </c>
      <c r="G55" s="51">
        <f t="shared" si="31"/>
        <v>4</v>
      </c>
      <c r="H55" s="64" t="str">
        <f t="shared" si="24"/>
        <v>T_03</v>
      </c>
      <c r="I55" s="64" t="str">
        <f t="shared" si="25"/>
        <v>T_01</v>
      </c>
      <c r="J55" s="64">
        <f t="shared" si="37"/>
        <v>6</v>
      </c>
      <c r="K55" s="65">
        <f t="shared" si="32"/>
        <v>43838</v>
      </c>
      <c r="L55">
        <v>43437</v>
      </c>
      <c r="M55">
        <v>43437</v>
      </c>
      <c r="O55"/>
      <c r="P55" s="160">
        <v>29</v>
      </c>
      <c r="Q55" s="160" t="str">
        <f t="shared" ca="1" si="26"/>
        <v>Christiansfelt</v>
      </c>
      <c r="R55" s="160" t="str">
        <f t="shared" ca="1" si="27"/>
        <v>Assens</v>
      </c>
      <c r="S55" s="161"/>
      <c r="T55" s="162" t="s">
        <v>33</v>
      </c>
      <c r="U55" s="163"/>
      <c r="V55" s="164"/>
      <c r="W55" s="165"/>
      <c r="X55" s="166" t="str">
        <f t="shared" si="28"/>
        <v>-</v>
      </c>
      <c r="Y55" s="166" t="str">
        <f t="shared" si="29"/>
        <v>-</v>
      </c>
    </row>
    <row r="56" spans="3:25" ht="17.399999999999999" x14ac:dyDescent="0.35">
      <c r="C56" s="56" t="s">
        <v>112</v>
      </c>
      <c r="D56" s="57">
        <f t="shared" si="30"/>
        <v>0</v>
      </c>
      <c r="E56" s="56">
        <v>30</v>
      </c>
      <c r="F56" s="58">
        <f t="shared" si="23"/>
        <v>3</v>
      </c>
      <c r="G56" s="58">
        <f t="shared" si="31"/>
        <v>5</v>
      </c>
      <c r="H56" s="59" t="str">
        <f t="shared" si="24"/>
        <v>T_04</v>
      </c>
      <c r="I56" s="59" t="str">
        <f t="shared" si="25"/>
        <v>T_02</v>
      </c>
      <c r="J56" s="59">
        <f t="shared" si="37"/>
        <v>6</v>
      </c>
      <c r="K56" s="60">
        <f t="shared" si="32"/>
        <v>43838</v>
      </c>
      <c r="L56">
        <v>43437</v>
      </c>
      <c r="M56">
        <v>43437</v>
      </c>
      <c r="O56"/>
      <c r="P56" s="122">
        <v>30</v>
      </c>
      <c r="Q56" s="122" t="str">
        <f t="shared" ca="1" si="26"/>
        <v>Dragør</v>
      </c>
      <c r="R56" s="122" t="str">
        <f t="shared" ca="1" si="27"/>
        <v>Bogense</v>
      </c>
      <c r="S56" s="134"/>
      <c r="T56" s="123" t="str">
        <f>IFERROR(T55+mMin,"-")</f>
        <v>-</v>
      </c>
      <c r="U56" s="146"/>
      <c r="V56" s="147"/>
      <c r="W56" s="148"/>
      <c r="X56" s="121" t="str">
        <f t="shared" si="28"/>
        <v>-</v>
      </c>
      <c r="Y56" s="121" t="str">
        <f t="shared" si="29"/>
        <v>-</v>
      </c>
    </row>
    <row r="57" spans="3:25" ht="17.399999999999999" x14ac:dyDescent="0.35">
      <c r="C57" s="56" t="s">
        <v>114</v>
      </c>
      <c r="D57" s="57">
        <f t="shared" si="30"/>
        <v>0</v>
      </c>
      <c r="E57" s="56">
        <v>31</v>
      </c>
      <c r="F57" s="58">
        <f t="shared" si="23"/>
        <v>10</v>
      </c>
      <c r="G57" s="58">
        <f t="shared" si="31"/>
        <v>7</v>
      </c>
      <c r="H57" s="59" t="str">
        <f t="shared" si="24"/>
        <v>T_06</v>
      </c>
      <c r="I57" s="59" t="str">
        <f t="shared" si="25"/>
        <v>T_09</v>
      </c>
      <c r="J57" s="59">
        <f t="shared" ref="J57" si="42">J52+1</f>
        <v>7</v>
      </c>
      <c r="K57" s="60">
        <f t="shared" si="32"/>
        <v>43839</v>
      </c>
      <c r="L57">
        <v>43437</v>
      </c>
      <c r="M57">
        <v>43437</v>
      </c>
      <c r="O57"/>
      <c r="P57" s="122">
        <v>31</v>
      </c>
      <c r="Q57" s="122" t="str">
        <f t="shared" ca="1" si="26"/>
        <v>Fjerritslev</v>
      </c>
      <c r="R57" s="122" t="str">
        <f t="shared" ca="1" si="27"/>
        <v>Indre By</v>
      </c>
      <c r="S57" s="134"/>
      <c r="T57" s="123" t="str">
        <f>IFERROR(T56+mMin,"-")</f>
        <v>-</v>
      </c>
      <c r="U57" s="146"/>
      <c r="V57" s="147"/>
      <c r="W57" s="148"/>
      <c r="X57" s="121" t="str">
        <f t="shared" si="28"/>
        <v>-</v>
      </c>
      <c r="Y57" s="121" t="str">
        <f t="shared" si="29"/>
        <v>-</v>
      </c>
    </row>
    <row r="58" spans="3:25" ht="18" thickBot="1" x14ac:dyDescent="0.4">
      <c r="C58" s="67" t="s">
        <v>115</v>
      </c>
      <c r="D58" s="66">
        <f t="shared" si="30"/>
        <v>0</v>
      </c>
      <c r="E58" s="67">
        <v>32</v>
      </c>
      <c r="F58" s="68">
        <f t="shared" si="23"/>
        <v>9</v>
      </c>
      <c r="G58" s="68">
        <f t="shared" si="31"/>
        <v>8</v>
      </c>
      <c r="H58" s="69" t="str">
        <f t="shared" si="24"/>
        <v>T_07</v>
      </c>
      <c r="I58" s="69" t="str">
        <f t="shared" si="25"/>
        <v>T_08</v>
      </c>
      <c r="J58" s="69">
        <f t="shared" ref="J58" si="43">J57</f>
        <v>7</v>
      </c>
      <c r="K58" s="70">
        <f t="shared" si="32"/>
        <v>43839</v>
      </c>
      <c r="L58">
        <v>43437</v>
      </c>
      <c r="M58">
        <v>43437</v>
      </c>
      <c r="O58"/>
      <c r="P58" s="124">
        <v>32</v>
      </c>
      <c r="Q58" s="124" t="str">
        <f t="shared" ca="1" si="26"/>
        <v>Glamsbjerg</v>
      </c>
      <c r="R58" s="124" t="str">
        <f t="shared" ca="1" si="27"/>
        <v>Holeby</v>
      </c>
      <c r="S58" s="135"/>
      <c r="T58" s="125" t="str">
        <f>IFERROR(T57+mMin,"-")</f>
        <v>-</v>
      </c>
      <c r="U58" s="149"/>
      <c r="V58" s="150"/>
      <c r="W58" s="151"/>
      <c r="X58" s="126" t="str">
        <f t="shared" si="28"/>
        <v>-</v>
      </c>
      <c r="Y58" s="126" t="str">
        <f t="shared" si="29"/>
        <v>-</v>
      </c>
    </row>
    <row r="59" spans="3:25" ht="17.399999999999999" x14ac:dyDescent="0.35">
      <c r="C59" s="63" t="s">
        <v>116</v>
      </c>
      <c r="D59" s="62">
        <f t="shared" si="30"/>
        <v>0</v>
      </c>
      <c r="E59" s="63">
        <v>33</v>
      </c>
      <c r="F59" s="51">
        <f t="shared" si="23"/>
        <v>3</v>
      </c>
      <c r="G59" s="51">
        <f t="shared" si="31"/>
        <v>2</v>
      </c>
      <c r="H59" s="64" t="str">
        <f t="shared" ref="H59:H90" si="44">INDEX(HxA,G59,1)</f>
        <v>T_01</v>
      </c>
      <c r="I59" s="64" t="str">
        <f t="shared" ref="I59:I90" si="45">INDEX(HxA,1,F59)</f>
        <v>T_02</v>
      </c>
      <c r="J59" s="64">
        <f t="shared" si="37"/>
        <v>7</v>
      </c>
      <c r="K59" s="65">
        <f t="shared" si="32"/>
        <v>43839</v>
      </c>
      <c r="L59">
        <v>43437</v>
      </c>
      <c r="M59">
        <v>43437</v>
      </c>
      <c r="O59"/>
      <c r="P59" s="122">
        <v>33</v>
      </c>
      <c r="Q59" s="122" t="str">
        <f t="shared" ref="Q59:Q90" ca="1" si="46">INDIRECT(H59)</f>
        <v>Assens</v>
      </c>
      <c r="R59" s="122" t="str">
        <f t="shared" ref="R59:R90" ca="1" si="47">INDIRECT(I59)</f>
        <v>Bogense</v>
      </c>
      <c r="S59" s="141"/>
      <c r="T59" s="142" t="s">
        <v>33</v>
      </c>
      <c r="U59" s="152"/>
      <c r="V59" s="153"/>
      <c r="W59" s="154"/>
      <c r="X59" s="121" t="str">
        <f t="shared" si="28"/>
        <v>-</v>
      </c>
      <c r="Y59" s="121" t="str">
        <f t="shared" si="29"/>
        <v>-</v>
      </c>
    </row>
    <row r="60" spans="3:25" ht="17.399999999999999" x14ac:dyDescent="0.35">
      <c r="C60" s="56" t="s">
        <v>118</v>
      </c>
      <c r="D60" s="57">
        <f t="shared" si="30"/>
        <v>0</v>
      </c>
      <c r="E60" s="56">
        <v>34</v>
      </c>
      <c r="F60" s="58">
        <f t="shared" si="23"/>
        <v>10</v>
      </c>
      <c r="G60" s="58">
        <f t="shared" si="31"/>
        <v>5</v>
      </c>
      <c r="H60" s="59" t="str">
        <f t="shared" si="44"/>
        <v>T_04</v>
      </c>
      <c r="I60" s="59" t="str">
        <f t="shared" si="45"/>
        <v>T_09</v>
      </c>
      <c r="J60" s="59">
        <f t="shared" si="37"/>
        <v>7</v>
      </c>
      <c r="K60" s="60">
        <f t="shared" si="32"/>
        <v>43839</v>
      </c>
      <c r="L60">
        <v>43437</v>
      </c>
      <c r="M60">
        <v>43437</v>
      </c>
      <c r="O60"/>
      <c r="P60" s="122">
        <v>34</v>
      </c>
      <c r="Q60" s="122" t="str">
        <f t="shared" ca="1" si="46"/>
        <v>Dragør</v>
      </c>
      <c r="R60" s="122" t="str">
        <f t="shared" ca="1" si="47"/>
        <v>Indre By</v>
      </c>
      <c r="S60" s="134"/>
      <c r="T60" s="123" t="str">
        <f>IFERROR(T59+mMin,"-")</f>
        <v>-</v>
      </c>
      <c r="U60" s="146"/>
      <c r="V60" s="147"/>
      <c r="W60" s="148"/>
      <c r="X60" s="121" t="str">
        <f t="shared" si="28"/>
        <v>-</v>
      </c>
      <c r="Y60" s="121" t="str">
        <f t="shared" si="29"/>
        <v>-</v>
      </c>
    </row>
    <row r="61" spans="3:25" ht="17.399999999999999" x14ac:dyDescent="0.35">
      <c r="C61" s="56" t="s">
        <v>119</v>
      </c>
      <c r="D61" s="57">
        <f t="shared" si="30"/>
        <v>0</v>
      </c>
      <c r="E61" s="56">
        <v>35</v>
      </c>
      <c r="F61" s="58">
        <f t="shared" si="23"/>
        <v>9</v>
      </c>
      <c r="G61" s="58">
        <f t="shared" si="31"/>
        <v>6</v>
      </c>
      <c r="H61" s="59" t="str">
        <f t="shared" si="44"/>
        <v>T_05</v>
      </c>
      <c r="I61" s="59" t="str">
        <f t="shared" si="45"/>
        <v>T_08</v>
      </c>
      <c r="J61" s="59">
        <f t="shared" si="37"/>
        <v>7</v>
      </c>
      <c r="K61" s="60">
        <f t="shared" si="32"/>
        <v>43839</v>
      </c>
      <c r="L61">
        <v>43437</v>
      </c>
      <c r="M61">
        <v>43437</v>
      </c>
      <c r="O61"/>
      <c r="P61" s="122">
        <v>35</v>
      </c>
      <c r="Q61" s="122" t="str">
        <f t="shared" ca="1" si="46"/>
        <v>Ejby</v>
      </c>
      <c r="R61" s="122" t="str">
        <f t="shared" ca="1" si="47"/>
        <v>Holeby</v>
      </c>
      <c r="S61" s="134"/>
      <c r="T61" s="123" t="str">
        <f>IFERROR(T60+mMin,"-")</f>
        <v>-</v>
      </c>
      <c r="U61" s="146"/>
      <c r="V61" s="147"/>
      <c r="W61" s="148"/>
      <c r="X61" s="121" t="str">
        <f t="shared" si="28"/>
        <v>-</v>
      </c>
      <c r="Y61" s="121" t="str">
        <f t="shared" si="29"/>
        <v>-</v>
      </c>
    </row>
    <row r="62" spans="3:25" ht="18" thickBot="1" x14ac:dyDescent="0.4">
      <c r="C62" s="76" t="s">
        <v>120</v>
      </c>
      <c r="D62" s="77">
        <f t="shared" si="30"/>
        <v>0</v>
      </c>
      <c r="E62" s="76">
        <v>36</v>
      </c>
      <c r="F62" s="78">
        <f t="shared" si="23"/>
        <v>8</v>
      </c>
      <c r="G62" s="78">
        <f t="shared" si="31"/>
        <v>7</v>
      </c>
      <c r="H62" s="79" t="str">
        <f t="shared" si="44"/>
        <v>T_06</v>
      </c>
      <c r="I62" s="79" t="str">
        <f t="shared" si="45"/>
        <v>T_07</v>
      </c>
      <c r="J62" s="79">
        <f t="shared" ref="J62" si="48">J57+1</f>
        <v>8</v>
      </c>
      <c r="K62" s="80">
        <f t="shared" si="32"/>
        <v>43840</v>
      </c>
      <c r="L62">
        <v>43437</v>
      </c>
      <c r="M62">
        <v>43437</v>
      </c>
      <c r="O62"/>
      <c r="P62" s="167">
        <v>36</v>
      </c>
      <c r="Q62" s="167" t="str">
        <f t="shared" ca="1" si="46"/>
        <v>Fjerritslev</v>
      </c>
      <c r="R62" s="167" t="str">
        <f t="shared" ca="1" si="47"/>
        <v>Glamsbjerg</v>
      </c>
      <c r="S62" s="168"/>
      <c r="T62" s="169" t="str">
        <f>IFERROR(T61+mMin,"-")</f>
        <v>-</v>
      </c>
      <c r="U62" s="170"/>
      <c r="V62" s="171"/>
      <c r="W62" s="172"/>
      <c r="X62" s="173" t="str">
        <f t="shared" si="28"/>
        <v>-</v>
      </c>
      <c r="Y62" s="173" t="str">
        <f t="shared" si="29"/>
        <v>-</v>
      </c>
    </row>
    <row r="63" spans="3:25" ht="17.399999999999999" x14ac:dyDescent="0.35">
      <c r="C63" s="63" t="s">
        <v>122</v>
      </c>
      <c r="D63" s="62">
        <f t="shared" si="30"/>
        <v>0</v>
      </c>
      <c r="E63" s="63">
        <v>37</v>
      </c>
      <c r="F63" s="51">
        <f t="shared" si="23"/>
        <v>3</v>
      </c>
      <c r="G63" s="51">
        <f t="shared" si="31"/>
        <v>10</v>
      </c>
      <c r="H63" s="64" t="str">
        <f t="shared" si="44"/>
        <v>T_09</v>
      </c>
      <c r="I63" s="64" t="str">
        <f t="shared" si="45"/>
        <v>T_02</v>
      </c>
      <c r="J63" s="64">
        <f t="shared" ref="J63" si="49">J62</f>
        <v>8</v>
      </c>
      <c r="K63" s="65">
        <f t="shared" si="32"/>
        <v>43840</v>
      </c>
      <c r="L63">
        <v>43437</v>
      </c>
      <c r="M63">
        <v>43437</v>
      </c>
      <c r="O63"/>
      <c r="P63" s="160">
        <v>37</v>
      </c>
      <c r="Q63" s="160" t="str">
        <f t="shared" ca="1" si="46"/>
        <v>Indre By</v>
      </c>
      <c r="R63" s="160" t="str">
        <f t="shared" ca="1" si="47"/>
        <v>Bogense</v>
      </c>
      <c r="S63" s="161"/>
      <c r="T63" s="162" t="s">
        <v>33</v>
      </c>
      <c r="U63" s="163"/>
      <c r="V63" s="164"/>
      <c r="W63" s="165"/>
      <c r="X63" s="166" t="str">
        <f t="shared" si="28"/>
        <v>-</v>
      </c>
      <c r="Y63" s="166" t="str">
        <f t="shared" si="29"/>
        <v>-</v>
      </c>
    </row>
    <row r="64" spans="3:25" ht="17.399999999999999" x14ac:dyDescent="0.35">
      <c r="C64" s="56" t="s">
        <v>123</v>
      </c>
      <c r="D64" s="57">
        <f t="shared" si="30"/>
        <v>0</v>
      </c>
      <c r="E64" s="56">
        <v>38</v>
      </c>
      <c r="F64" s="58">
        <f t="shared" si="23"/>
        <v>4</v>
      </c>
      <c r="G64" s="58">
        <f t="shared" si="31"/>
        <v>9</v>
      </c>
      <c r="H64" s="59" t="str">
        <f t="shared" si="44"/>
        <v>T_08</v>
      </c>
      <c r="I64" s="59" t="str">
        <f t="shared" si="45"/>
        <v>T_03</v>
      </c>
      <c r="J64" s="59">
        <f t="shared" si="37"/>
        <v>8</v>
      </c>
      <c r="K64" s="60">
        <f t="shared" si="32"/>
        <v>43840</v>
      </c>
      <c r="L64">
        <v>43437</v>
      </c>
      <c r="M64">
        <v>43437</v>
      </c>
      <c r="O64"/>
      <c r="P64" s="122">
        <v>38</v>
      </c>
      <c r="Q64" s="122" t="str">
        <f t="shared" ca="1" si="46"/>
        <v>Holeby</v>
      </c>
      <c r="R64" s="122" t="str">
        <f t="shared" ca="1" si="47"/>
        <v>Christiansfelt</v>
      </c>
      <c r="S64" s="134"/>
      <c r="T64" s="123" t="str">
        <f>IFERROR(T63+mMin,"-")</f>
        <v>-</v>
      </c>
      <c r="U64" s="146"/>
      <c r="V64" s="147"/>
      <c r="W64" s="148"/>
      <c r="X64" s="121" t="str">
        <f t="shared" si="28"/>
        <v>-</v>
      </c>
      <c r="Y64" s="121" t="str">
        <f t="shared" si="29"/>
        <v>-</v>
      </c>
    </row>
    <row r="65" spans="3:25" ht="17.399999999999999" x14ac:dyDescent="0.35">
      <c r="C65" s="56" t="s">
        <v>124</v>
      </c>
      <c r="D65" s="57">
        <f t="shared" si="30"/>
        <v>0</v>
      </c>
      <c r="E65" s="56">
        <v>39</v>
      </c>
      <c r="F65" s="58">
        <f t="shared" si="23"/>
        <v>5</v>
      </c>
      <c r="G65" s="58">
        <f t="shared" si="31"/>
        <v>8</v>
      </c>
      <c r="H65" s="59" t="str">
        <f t="shared" si="44"/>
        <v>T_07</v>
      </c>
      <c r="I65" s="59" t="str">
        <f t="shared" si="45"/>
        <v>T_04</v>
      </c>
      <c r="J65" s="59">
        <f t="shared" si="37"/>
        <v>8</v>
      </c>
      <c r="K65" s="60">
        <f t="shared" si="32"/>
        <v>43840</v>
      </c>
      <c r="L65">
        <v>43437</v>
      </c>
      <c r="M65">
        <v>43437</v>
      </c>
      <c r="O65"/>
      <c r="P65" s="122">
        <v>39</v>
      </c>
      <c r="Q65" s="122" t="str">
        <f t="shared" ca="1" si="46"/>
        <v>Glamsbjerg</v>
      </c>
      <c r="R65" s="122" t="str">
        <f t="shared" ca="1" si="47"/>
        <v>Dragør</v>
      </c>
      <c r="S65" s="134"/>
      <c r="T65" s="123" t="str">
        <f>IFERROR(T64+mMin,"-")</f>
        <v>-</v>
      </c>
      <c r="U65" s="146"/>
      <c r="V65" s="147"/>
      <c r="W65" s="148"/>
      <c r="X65" s="121" t="str">
        <f t="shared" si="28"/>
        <v>-</v>
      </c>
      <c r="Y65" s="121" t="str">
        <f t="shared" si="29"/>
        <v>-</v>
      </c>
    </row>
    <row r="66" spans="3:25" ht="18" thickBot="1" x14ac:dyDescent="0.4">
      <c r="C66" s="67" t="s">
        <v>125</v>
      </c>
      <c r="D66" s="66">
        <f t="shared" si="30"/>
        <v>0</v>
      </c>
      <c r="E66" s="67">
        <v>40</v>
      </c>
      <c r="F66" s="68">
        <f t="shared" si="23"/>
        <v>6</v>
      </c>
      <c r="G66" s="68">
        <f t="shared" si="31"/>
        <v>7</v>
      </c>
      <c r="H66" s="69" t="str">
        <f t="shared" si="44"/>
        <v>T_06</v>
      </c>
      <c r="I66" s="69" t="str">
        <f t="shared" si="45"/>
        <v>T_05</v>
      </c>
      <c r="J66" s="69">
        <f t="shared" si="37"/>
        <v>8</v>
      </c>
      <c r="K66" s="70">
        <f t="shared" si="32"/>
        <v>43840</v>
      </c>
      <c r="L66">
        <v>43437</v>
      </c>
      <c r="M66">
        <v>43437</v>
      </c>
      <c r="O66"/>
      <c r="P66" s="124">
        <v>40</v>
      </c>
      <c r="Q66" s="124" t="str">
        <f t="shared" ca="1" si="46"/>
        <v>Fjerritslev</v>
      </c>
      <c r="R66" s="124" t="str">
        <f t="shared" ca="1" si="47"/>
        <v>Ejby</v>
      </c>
      <c r="S66" s="135"/>
      <c r="T66" s="125" t="str">
        <f>IFERROR(T65+mMin,"-")</f>
        <v>-</v>
      </c>
      <c r="U66" s="149"/>
      <c r="V66" s="150"/>
      <c r="W66" s="151"/>
      <c r="X66" s="126" t="str">
        <f t="shared" si="28"/>
        <v>-</v>
      </c>
      <c r="Y66" s="126" t="str">
        <f t="shared" si="29"/>
        <v>-</v>
      </c>
    </row>
    <row r="67" spans="3:25" ht="17.399999999999999" x14ac:dyDescent="0.35">
      <c r="C67" s="63" t="s">
        <v>126</v>
      </c>
      <c r="D67" s="62">
        <f t="shared" si="30"/>
        <v>0</v>
      </c>
      <c r="E67" s="63">
        <v>41</v>
      </c>
      <c r="F67" s="51">
        <f t="shared" si="23"/>
        <v>10</v>
      </c>
      <c r="G67" s="51">
        <f t="shared" si="31"/>
        <v>2</v>
      </c>
      <c r="H67" s="64" t="str">
        <f t="shared" si="44"/>
        <v>T_01</v>
      </c>
      <c r="I67" s="64" t="str">
        <f t="shared" si="45"/>
        <v>T_09</v>
      </c>
      <c r="J67" s="64">
        <f t="shared" ref="J67" si="50">J62+1</f>
        <v>9</v>
      </c>
      <c r="K67" s="65">
        <f t="shared" si="32"/>
        <v>43841</v>
      </c>
      <c r="L67">
        <v>43437</v>
      </c>
      <c r="M67">
        <v>43437</v>
      </c>
      <c r="O67"/>
      <c r="P67" s="160">
        <v>41</v>
      </c>
      <c r="Q67" s="160" t="str">
        <f t="shared" ca="1" si="46"/>
        <v>Assens</v>
      </c>
      <c r="R67" s="160" t="str">
        <f t="shared" ca="1" si="47"/>
        <v>Indre By</v>
      </c>
      <c r="S67" s="161"/>
      <c r="T67" s="162" t="s">
        <v>33</v>
      </c>
      <c r="U67" s="163"/>
      <c r="V67" s="164"/>
      <c r="W67" s="165"/>
      <c r="X67" s="166" t="str">
        <f t="shared" si="28"/>
        <v>-</v>
      </c>
      <c r="Y67" s="166" t="str">
        <f t="shared" si="29"/>
        <v>-</v>
      </c>
    </row>
    <row r="68" spans="3:25" ht="17.399999999999999" x14ac:dyDescent="0.35">
      <c r="C68" s="56" t="s">
        <v>128</v>
      </c>
      <c r="D68" s="57">
        <f t="shared" si="30"/>
        <v>0</v>
      </c>
      <c r="E68" s="56">
        <v>42</v>
      </c>
      <c r="F68" s="58">
        <f t="shared" si="23"/>
        <v>3</v>
      </c>
      <c r="G68" s="58">
        <f t="shared" si="31"/>
        <v>8</v>
      </c>
      <c r="H68" s="59" t="str">
        <f t="shared" si="44"/>
        <v>T_07</v>
      </c>
      <c r="I68" s="59" t="str">
        <f t="shared" si="45"/>
        <v>T_02</v>
      </c>
      <c r="J68" s="59">
        <f t="shared" ref="J68" si="51">J67</f>
        <v>9</v>
      </c>
      <c r="K68" s="60">
        <f t="shared" si="32"/>
        <v>43841</v>
      </c>
      <c r="L68">
        <v>43437</v>
      </c>
      <c r="M68">
        <v>43437</v>
      </c>
      <c r="O68"/>
      <c r="P68" s="122">
        <v>42</v>
      </c>
      <c r="Q68" s="122" t="str">
        <f t="shared" ca="1" si="46"/>
        <v>Glamsbjerg</v>
      </c>
      <c r="R68" s="122" t="str">
        <f t="shared" ca="1" si="47"/>
        <v>Bogense</v>
      </c>
      <c r="S68" s="134"/>
      <c r="T68" s="123" t="str">
        <f>IFERROR(T67+mMin,"-")</f>
        <v>-</v>
      </c>
      <c r="U68" s="146"/>
      <c r="V68" s="147"/>
      <c r="W68" s="148"/>
      <c r="X68" s="121" t="str">
        <f t="shared" si="28"/>
        <v>-</v>
      </c>
      <c r="Y68" s="121" t="str">
        <f t="shared" si="29"/>
        <v>-</v>
      </c>
    </row>
    <row r="69" spans="3:25" ht="17.399999999999999" x14ac:dyDescent="0.35">
      <c r="C69" s="56" t="s">
        <v>129</v>
      </c>
      <c r="D69" s="57">
        <f t="shared" si="30"/>
        <v>0</v>
      </c>
      <c r="E69" s="56">
        <v>43</v>
      </c>
      <c r="F69" s="58">
        <f t="shared" si="23"/>
        <v>4</v>
      </c>
      <c r="G69" s="58">
        <f t="shared" si="31"/>
        <v>7</v>
      </c>
      <c r="H69" s="59" t="str">
        <f t="shared" si="44"/>
        <v>T_06</v>
      </c>
      <c r="I69" s="59" t="str">
        <f t="shared" si="45"/>
        <v>T_03</v>
      </c>
      <c r="J69" s="59">
        <f t="shared" si="37"/>
        <v>9</v>
      </c>
      <c r="K69" s="60">
        <f t="shared" si="32"/>
        <v>43841</v>
      </c>
      <c r="L69">
        <v>43437</v>
      </c>
      <c r="M69">
        <v>43437</v>
      </c>
      <c r="O69"/>
      <c r="P69" s="122">
        <v>43</v>
      </c>
      <c r="Q69" s="122" t="str">
        <f t="shared" ca="1" si="46"/>
        <v>Fjerritslev</v>
      </c>
      <c r="R69" s="122" t="str">
        <f t="shared" ca="1" si="47"/>
        <v>Christiansfelt</v>
      </c>
      <c r="S69" s="134"/>
      <c r="T69" s="123" t="str">
        <f>IFERROR(T68+mMin,"-")</f>
        <v>-</v>
      </c>
      <c r="U69" s="146"/>
      <c r="V69" s="147"/>
      <c r="W69" s="148"/>
      <c r="X69" s="121" t="str">
        <f t="shared" si="28"/>
        <v>-</v>
      </c>
      <c r="Y69" s="121" t="str">
        <f t="shared" si="29"/>
        <v>-</v>
      </c>
    </row>
    <row r="70" spans="3:25" ht="18" thickBot="1" x14ac:dyDescent="0.4">
      <c r="C70" s="67" t="s">
        <v>130</v>
      </c>
      <c r="D70" s="66">
        <f t="shared" si="30"/>
        <v>0</v>
      </c>
      <c r="E70" s="67">
        <v>44</v>
      </c>
      <c r="F70" s="68">
        <f t="shared" si="23"/>
        <v>5</v>
      </c>
      <c r="G70" s="68">
        <f t="shared" si="31"/>
        <v>6</v>
      </c>
      <c r="H70" s="69" t="str">
        <f t="shared" si="44"/>
        <v>T_05</v>
      </c>
      <c r="I70" s="69" t="str">
        <f t="shared" si="45"/>
        <v>T_04</v>
      </c>
      <c r="J70" s="69">
        <f t="shared" si="37"/>
        <v>9</v>
      </c>
      <c r="K70" s="70">
        <f t="shared" si="32"/>
        <v>43841</v>
      </c>
      <c r="L70">
        <v>43437</v>
      </c>
      <c r="M70">
        <v>43437</v>
      </c>
      <c r="O70"/>
      <c r="P70" s="124">
        <v>44</v>
      </c>
      <c r="Q70" s="124" t="str">
        <f t="shared" ca="1" si="46"/>
        <v>Ejby</v>
      </c>
      <c r="R70" s="124" t="str">
        <f t="shared" ca="1" si="47"/>
        <v>Dragør</v>
      </c>
      <c r="S70" s="135"/>
      <c r="T70" s="125" t="str">
        <f>IFERROR(T69+mMin,"-")</f>
        <v>-</v>
      </c>
      <c r="U70" s="149"/>
      <c r="V70" s="150"/>
      <c r="W70" s="151"/>
      <c r="X70" s="126" t="str">
        <f t="shared" si="28"/>
        <v>-</v>
      </c>
      <c r="Y70" s="126" t="str">
        <f t="shared" si="29"/>
        <v>-</v>
      </c>
    </row>
    <row r="71" spans="3:25" ht="17.399999999999999" x14ac:dyDescent="0.35">
      <c r="C71" s="63" t="s">
        <v>131</v>
      </c>
      <c r="D71" s="62">
        <f t="shared" si="30"/>
        <v>0</v>
      </c>
      <c r="E71" s="63">
        <v>45</v>
      </c>
      <c r="F71" s="51">
        <f t="shared" si="23"/>
        <v>2</v>
      </c>
      <c r="G71" s="51">
        <f t="shared" si="31"/>
        <v>9</v>
      </c>
      <c r="H71" s="64" t="str">
        <f t="shared" si="44"/>
        <v>T_08</v>
      </c>
      <c r="I71" s="64" t="str">
        <f t="shared" si="45"/>
        <v>T_01</v>
      </c>
      <c r="J71" s="64">
        <f t="shared" si="37"/>
        <v>9</v>
      </c>
      <c r="K71" s="65">
        <f t="shared" si="32"/>
        <v>43841</v>
      </c>
      <c r="L71">
        <v>43437</v>
      </c>
      <c r="M71">
        <v>43437</v>
      </c>
      <c r="O71"/>
      <c r="P71" s="160">
        <v>45</v>
      </c>
      <c r="Q71" s="160" t="str">
        <f t="shared" ca="1" si="46"/>
        <v>Holeby</v>
      </c>
      <c r="R71" s="160" t="str">
        <f t="shared" ca="1" si="47"/>
        <v>Assens</v>
      </c>
      <c r="S71" s="161"/>
      <c r="T71" s="162" t="s">
        <v>33</v>
      </c>
      <c r="U71" s="163"/>
      <c r="V71" s="164"/>
      <c r="W71" s="165"/>
      <c r="X71" s="166" t="str">
        <f t="shared" si="28"/>
        <v>-</v>
      </c>
      <c r="Y71" s="166" t="str">
        <f t="shared" si="29"/>
        <v>-</v>
      </c>
    </row>
    <row r="72" spans="3:25" ht="17.399999999999999" x14ac:dyDescent="0.35">
      <c r="C72" s="56" t="s">
        <v>132</v>
      </c>
      <c r="D72" s="57">
        <f t="shared" si="30"/>
        <v>0</v>
      </c>
      <c r="E72" s="56">
        <v>46</v>
      </c>
      <c r="F72" s="58">
        <f t="shared" si="23"/>
        <v>10</v>
      </c>
      <c r="G72" s="58">
        <f t="shared" si="31"/>
        <v>8</v>
      </c>
      <c r="H72" s="59" t="str">
        <f t="shared" si="44"/>
        <v>T_07</v>
      </c>
      <c r="I72" s="59" t="str">
        <f t="shared" si="45"/>
        <v>T_09</v>
      </c>
      <c r="J72" s="59">
        <f t="shared" ref="J72" si="52">J67+1</f>
        <v>10</v>
      </c>
      <c r="K72" s="60">
        <f t="shared" si="32"/>
        <v>43842</v>
      </c>
      <c r="L72">
        <v>43437</v>
      </c>
      <c r="M72">
        <v>43437</v>
      </c>
      <c r="O72"/>
      <c r="P72" s="122">
        <v>46</v>
      </c>
      <c r="Q72" s="122" t="str">
        <f t="shared" ca="1" si="46"/>
        <v>Glamsbjerg</v>
      </c>
      <c r="R72" s="122" t="str">
        <f t="shared" ca="1" si="47"/>
        <v>Indre By</v>
      </c>
      <c r="S72" s="134"/>
      <c r="T72" s="123" t="str">
        <f>IFERROR(T71+mMin,"-")</f>
        <v>-</v>
      </c>
      <c r="U72" s="146"/>
      <c r="V72" s="147"/>
      <c r="W72" s="148"/>
      <c r="X72" s="121" t="str">
        <f t="shared" si="28"/>
        <v>-</v>
      </c>
      <c r="Y72" s="121" t="str">
        <f t="shared" si="29"/>
        <v>-</v>
      </c>
    </row>
    <row r="73" spans="3:25" ht="17.399999999999999" x14ac:dyDescent="0.35">
      <c r="C73" s="56" t="s">
        <v>134</v>
      </c>
      <c r="D73" s="57">
        <f t="shared" si="30"/>
        <v>0</v>
      </c>
      <c r="E73" s="56">
        <v>47</v>
      </c>
      <c r="F73" s="58">
        <f t="shared" si="23"/>
        <v>3</v>
      </c>
      <c r="G73" s="58">
        <f t="shared" si="31"/>
        <v>6</v>
      </c>
      <c r="H73" s="59" t="str">
        <f t="shared" si="44"/>
        <v>T_05</v>
      </c>
      <c r="I73" s="59" t="str">
        <f t="shared" si="45"/>
        <v>T_02</v>
      </c>
      <c r="J73" s="59">
        <f t="shared" ref="J73" si="53">J72</f>
        <v>10</v>
      </c>
      <c r="K73" s="60">
        <f t="shared" si="32"/>
        <v>43842</v>
      </c>
      <c r="L73">
        <v>43437</v>
      </c>
      <c r="M73">
        <v>43437</v>
      </c>
      <c r="O73"/>
      <c r="P73" s="122">
        <v>47</v>
      </c>
      <c r="Q73" s="122" t="str">
        <f t="shared" ca="1" si="46"/>
        <v>Ejby</v>
      </c>
      <c r="R73" s="122" t="str">
        <f t="shared" ca="1" si="47"/>
        <v>Bogense</v>
      </c>
      <c r="S73" s="134"/>
      <c r="T73" s="123" t="str">
        <f>IFERROR(T72+mMin,"-")</f>
        <v>-</v>
      </c>
      <c r="U73" s="146"/>
      <c r="V73" s="147"/>
      <c r="W73" s="148"/>
      <c r="X73" s="121" t="str">
        <f t="shared" si="28"/>
        <v>-</v>
      </c>
      <c r="Y73" s="121" t="str">
        <f t="shared" si="29"/>
        <v>-</v>
      </c>
    </row>
    <row r="74" spans="3:25" ht="18" thickBot="1" x14ac:dyDescent="0.4">
      <c r="C74" s="67" t="s">
        <v>135</v>
      </c>
      <c r="D74" s="66">
        <f t="shared" si="30"/>
        <v>0</v>
      </c>
      <c r="E74" s="67">
        <v>48</v>
      </c>
      <c r="F74" s="68">
        <f t="shared" si="23"/>
        <v>4</v>
      </c>
      <c r="G74" s="68">
        <f t="shared" si="31"/>
        <v>5</v>
      </c>
      <c r="H74" s="69" t="str">
        <f t="shared" si="44"/>
        <v>T_04</v>
      </c>
      <c r="I74" s="69" t="str">
        <f t="shared" si="45"/>
        <v>T_03</v>
      </c>
      <c r="J74" s="69">
        <f t="shared" si="37"/>
        <v>10</v>
      </c>
      <c r="K74" s="70">
        <f t="shared" si="32"/>
        <v>43842</v>
      </c>
      <c r="L74">
        <v>43437</v>
      </c>
      <c r="M74">
        <v>43437</v>
      </c>
      <c r="O74"/>
      <c r="P74" s="124">
        <v>48</v>
      </c>
      <c r="Q74" s="124" t="str">
        <f t="shared" ca="1" si="46"/>
        <v>Dragør</v>
      </c>
      <c r="R74" s="124" t="str">
        <f t="shared" ca="1" si="47"/>
        <v>Christiansfelt</v>
      </c>
      <c r="S74" s="135"/>
      <c r="T74" s="125" t="str">
        <f>IFERROR(T73+mMin,"-")</f>
        <v>-</v>
      </c>
      <c r="U74" s="149"/>
      <c r="V74" s="150"/>
      <c r="W74" s="151"/>
      <c r="X74" s="126" t="str">
        <f t="shared" si="28"/>
        <v>-</v>
      </c>
      <c r="Y74" s="126" t="str">
        <f t="shared" si="29"/>
        <v>-</v>
      </c>
    </row>
    <row r="75" spans="3:25" ht="17.399999999999999" x14ac:dyDescent="0.35">
      <c r="C75" s="63" t="s">
        <v>136</v>
      </c>
      <c r="D75" s="62">
        <f t="shared" si="30"/>
        <v>0</v>
      </c>
      <c r="E75" s="63">
        <v>49</v>
      </c>
      <c r="F75" s="51">
        <f t="shared" si="23"/>
        <v>8</v>
      </c>
      <c r="G75" s="51">
        <f t="shared" si="31"/>
        <v>2</v>
      </c>
      <c r="H75" s="64" t="str">
        <f t="shared" si="44"/>
        <v>T_01</v>
      </c>
      <c r="I75" s="64" t="str">
        <f t="shared" si="45"/>
        <v>T_07</v>
      </c>
      <c r="J75" s="64">
        <f t="shared" si="37"/>
        <v>10</v>
      </c>
      <c r="K75" s="65">
        <f t="shared" si="32"/>
        <v>43842</v>
      </c>
      <c r="L75">
        <v>43437</v>
      </c>
      <c r="M75">
        <v>43437</v>
      </c>
      <c r="O75"/>
      <c r="P75" s="160">
        <v>49</v>
      </c>
      <c r="Q75" s="160" t="str">
        <f t="shared" ca="1" si="46"/>
        <v>Assens</v>
      </c>
      <c r="R75" s="160" t="str">
        <f t="shared" ca="1" si="47"/>
        <v>Glamsbjerg</v>
      </c>
      <c r="S75" s="161"/>
      <c r="T75" s="162" t="s">
        <v>33</v>
      </c>
      <c r="U75" s="163"/>
      <c r="V75" s="164"/>
      <c r="W75" s="165"/>
      <c r="X75" s="166" t="str">
        <f t="shared" si="28"/>
        <v>-</v>
      </c>
      <c r="Y75" s="166" t="str">
        <f t="shared" si="29"/>
        <v>-</v>
      </c>
    </row>
    <row r="76" spans="3:25" ht="17.399999999999999" x14ac:dyDescent="0.35">
      <c r="C76" s="56" t="s">
        <v>137</v>
      </c>
      <c r="D76" s="57">
        <f t="shared" si="30"/>
        <v>0</v>
      </c>
      <c r="E76" s="56">
        <v>50</v>
      </c>
      <c r="F76" s="58">
        <f t="shared" si="23"/>
        <v>9</v>
      </c>
      <c r="G76" s="58">
        <f t="shared" si="31"/>
        <v>7</v>
      </c>
      <c r="H76" s="59" t="str">
        <f t="shared" si="44"/>
        <v>T_06</v>
      </c>
      <c r="I76" s="59" t="str">
        <f t="shared" si="45"/>
        <v>T_08</v>
      </c>
      <c r="J76" s="59">
        <f t="shared" si="37"/>
        <v>10</v>
      </c>
      <c r="K76" s="60">
        <f t="shared" si="32"/>
        <v>43842</v>
      </c>
      <c r="L76">
        <v>43437</v>
      </c>
      <c r="M76">
        <v>43437</v>
      </c>
      <c r="O76"/>
      <c r="P76" s="122">
        <v>50</v>
      </c>
      <c r="Q76" s="122" t="str">
        <f t="shared" ca="1" si="46"/>
        <v>Fjerritslev</v>
      </c>
      <c r="R76" s="122" t="str">
        <f t="shared" ca="1" si="47"/>
        <v>Holeby</v>
      </c>
      <c r="S76" s="134"/>
      <c r="T76" s="123" t="str">
        <f>IFERROR(T75+mMin,"-")</f>
        <v>-</v>
      </c>
      <c r="U76" s="146"/>
      <c r="V76" s="147"/>
      <c r="W76" s="148"/>
      <c r="X76" s="121" t="str">
        <f t="shared" si="28"/>
        <v>-</v>
      </c>
      <c r="Y76" s="121" t="str">
        <f t="shared" si="29"/>
        <v>-</v>
      </c>
    </row>
    <row r="77" spans="3:25" ht="17.399999999999999" x14ac:dyDescent="0.35">
      <c r="C77" s="56" t="s">
        <v>138</v>
      </c>
      <c r="D77" s="57">
        <f t="shared" si="30"/>
        <v>0</v>
      </c>
      <c r="E77" s="56">
        <v>51</v>
      </c>
      <c r="F77" s="58">
        <f t="shared" si="23"/>
        <v>10</v>
      </c>
      <c r="G77" s="58">
        <f t="shared" si="31"/>
        <v>6</v>
      </c>
      <c r="H77" s="59" t="str">
        <f t="shared" si="44"/>
        <v>T_05</v>
      </c>
      <c r="I77" s="59" t="str">
        <f t="shared" si="45"/>
        <v>T_09</v>
      </c>
      <c r="J77" s="59">
        <f t="shared" ref="J77" si="54">J72+1</f>
        <v>11</v>
      </c>
      <c r="K77" s="60">
        <f t="shared" si="32"/>
        <v>43843</v>
      </c>
      <c r="L77">
        <v>43437</v>
      </c>
      <c r="M77">
        <v>43437</v>
      </c>
      <c r="O77"/>
      <c r="P77" s="122">
        <v>51</v>
      </c>
      <c r="Q77" s="122" t="str">
        <f t="shared" ca="1" si="46"/>
        <v>Ejby</v>
      </c>
      <c r="R77" s="122" t="str">
        <f t="shared" ca="1" si="47"/>
        <v>Indre By</v>
      </c>
      <c r="S77" s="134"/>
      <c r="T77" s="123" t="str">
        <f>IFERROR(T76+mMin,"-")</f>
        <v>-</v>
      </c>
      <c r="U77" s="146"/>
      <c r="V77" s="147"/>
      <c r="W77" s="148"/>
      <c r="X77" s="121" t="str">
        <f t="shared" si="28"/>
        <v>-</v>
      </c>
      <c r="Y77" s="121" t="str">
        <f t="shared" si="29"/>
        <v>-</v>
      </c>
    </row>
    <row r="78" spans="3:25" ht="18" thickBot="1" x14ac:dyDescent="0.4">
      <c r="C78" s="67" t="s">
        <v>140</v>
      </c>
      <c r="D78" s="66">
        <f t="shared" si="30"/>
        <v>0</v>
      </c>
      <c r="E78" s="67">
        <v>52</v>
      </c>
      <c r="F78" s="68">
        <f t="shared" si="23"/>
        <v>3</v>
      </c>
      <c r="G78" s="68">
        <f t="shared" si="31"/>
        <v>4</v>
      </c>
      <c r="H78" s="69" t="str">
        <f t="shared" si="44"/>
        <v>T_03</v>
      </c>
      <c r="I78" s="69" t="str">
        <f t="shared" si="45"/>
        <v>T_02</v>
      </c>
      <c r="J78" s="69">
        <f t="shared" ref="J78" si="55">J77</f>
        <v>11</v>
      </c>
      <c r="K78" s="70">
        <f t="shared" si="32"/>
        <v>43843</v>
      </c>
      <c r="L78">
        <v>43437</v>
      </c>
      <c r="M78">
        <v>43437</v>
      </c>
      <c r="O78"/>
      <c r="P78" s="124">
        <v>52</v>
      </c>
      <c r="Q78" s="124" t="str">
        <f t="shared" ca="1" si="46"/>
        <v>Christiansfelt</v>
      </c>
      <c r="R78" s="124" t="str">
        <f t="shared" ca="1" si="47"/>
        <v>Bogense</v>
      </c>
      <c r="S78" s="135"/>
      <c r="T78" s="125" t="str">
        <f>IFERROR(T77+mMin,"-")</f>
        <v>-</v>
      </c>
      <c r="U78" s="149"/>
      <c r="V78" s="150"/>
      <c r="W78" s="151"/>
      <c r="X78" s="126" t="str">
        <f t="shared" si="28"/>
        <v>-</v>
      </c>
      <c r="Y78" s="126" t="str">
        <f t="shared" si="29"/>
        <v>-</v>
      </c>
    </row>
    <row r="79" spans="3:25" ht="17.399999999999999" x14ac:dyDescent="0.35">
      <c r="C79" s="63" t="s">
        <v>141</v>
      </c>
      <c r="D79" s="62">
        <f t="shared" si="30"/>
        <v>0</v>
      </c>
      <c r="E79" s="63">
        <v>53</v>
      </c>
      <c r="F79" s="51">
        <f t="shared" si="23"/>
        <v>2</v>
      </c>
      <c r="G79" s="51">
        <f t="shared" si="31"/>
        <v>7</v>
      </c>
      <c r="H79" s="64" t="str">
        <f t="shared" si="44"/>
        <v>T_06</v>
      </c>
      <c r="I79" s="64" t="str">
        <f t="shared" si="45"/>
        <v>T_01</v>
      </c>
      <c r="J79" s="64">
        <f t="shared" si="37"/>
        <v>11</v>
      </c>
      <c r="K79" s="65">
        <f t="shared" si="32"/>
        <v>43843</v>
      </c>
      <c r="L79">
        <v>43437</v>
      </c>
      <c r="M79">
        <v>43437</v>
      </c>
      <c r="O79"/>
      <c r="P79" s="122">
        <v>53</v>
      </c>
      <c r="Q79" s="122" t="str">
        <f t="shared" ca="1" si="46"/>
        <v>Fjerritslev</v>
      </c>
      <c r="R79" s="122" t="str">
        <f t="shared" ca="1" si="47"/>
        <v>Assens</v>
      </c>
      <c r="S79" s="141"/>
      <c r="T79" s="142" t="s">
        <v>33</v>
      </c>
      <c r="U79" s="152"/>
      <c r="V79" s="153"/>
      <c r="W79" s="154"/>
      <c r="X79" s="121" t="str">
        <f t="shared" si="28"/>
        <v>-</v>
      </c>
      <c r="Y79" s="121" t="str">
        <f t="shared" si="29"/>
        <v>-</v>
      </c>
    </row>
    <row r="80" spans="3:25" ht="17.399999999999999" x14ac:dyDescent="0.35">
      <c r="C80" s="56" t="s">
        <v>142</v>
      </c>
      <c r="D80" s="57">
        <f t="shared" si="30"/>
        <v>0</v>
      </c>
      <c r="E80" s="56">
        <v>54</v>
      </c>
      <c r="F80" s="58">
        <f t="shared" si="23"/>
        <v>8</v>
      </c>
      <c r="G80" s="58">
        <f t="shared" si="31"/>
        <v>6</v>
      </c>
      <c r="H80" s="59" t="str">
        <f t="shared" si="44"/>
        <v>T_05</v>
      </c>
      <c r="I80" s="59" t="str">
        <f t="shared" si="45"/>
        <v>T_07</v>
      </c>
      <c r="J80" s="59">
        <f t="shared" si="37"/>
        <v>11</v>
      </c>
      <c r="K80" s="60">
        <f t="shared" si="32"/>
        <v>43843</v>
      </c>
      <c r="L80">
        <v>43437</v>
      </c>
      <c r="M80">
        <v>43437</v>
      </c>
      <c r="O80"/>
      <c r="P80" s="122">
        <v>54</v>
      </c>
      <c r="Q80" s="122" t="str">
        <f t="shared" ca="1" si="46"/>
        <v>Ejby</v>
      </c>
      <c r="R80" s="122" t="str">
        <f t="shared" ca="1" si="47"/>
        <v>Glamsbjerg</v>
      </c>
      <c r="S80" s="134"/>
      <c r="T80" s="123" t="str">
        <f>IFERROR(T79+mMin,"-")</f>
        <v>-</v>
      </c>
      <c r="U80" s="146"/>
      <c r="V80" s="147"/>
      <c r="W80" s="148"/>
      <c r="X80" s="121" t="str">
        <f t="shared" si="28"/>
        <v>-</v>
      </c>
      <c r="Y80" s="121" t="str">
        <f t="shared" si="29"/>
        <v>-</v>
      </c>
    </row>
    <row r="81" spans="3:25" ht="17.399999999999999" x14ac:dyDescent="0.35">
      <c r="C81" s="56" t="s">
        <v>143</v>
      </c>
      <c r="D81" s="57">
        <f t="shared" si="30"/>
        <v>0</v>
      </c>
      <c r="E81" s="56">
        <v>55</v>
      </c>
      <c r="F81" s="58">
        <f t="shared" si="23"/>
        <v>9</v>
      </c>
      <c r="G81" s="58">
        <f t="shared" si="31"/>
        <v>5</v>
      </c>
      <c r="H81" s="59" t="str">
        <f t="shared" si="44"/>
        <v>T_04</v>
      </c>
      <c r="I81" s="59" t="str">
        <f t="shared" si="45"/>
        <v>T_08</v>
      </c>
      <c r="J81" s="59">
        <f t="shared" si="37"/>
        <v>11</v>
      </c>
      <c r="K81" s="60">
        <f t="shared" si="32"/>
        <v>43843</v>
      </c>
      <c r="L81">
        <v>43437</v>
      </c>
      <c r="M81">
        <v>43437</v>
      </c>
      <c r="O81"/>
      <c r="P81" s="122">
        <v>55</v>
      </c>
      <c r="Q81" s="122" t="str">
        <f t="shared" ca="1" si="46"/>
        <v>Dragør</v>
      </c>
      <c r="R81" s="122" t="str">
        <f t="shared" ca="1" si="47"/>
        <v>Holeby</v>
      </c>
      <c r="S81" s="134"/>
      <c r="T81" s="123" t="str">
        <f>IFERROR(T80+mMin,"-")</f>
        <v>-</v>
      </c>
      <c r="U81" s="146"/>
      <c r="V81" s="147"/>
      <c r="W81" s="148"/>
      <c r="X81" s="121" t="str">
        <f t="shared" si="28"/>
        <v>-</v>
      </c>
      <c r="Y81" s="121" t="str">
        <f t="shared" si="29"/>
        <v>-</v>
      </c>
    </row>
    <row r="82" spans="3:25" ht="18" thickBot="1" x14ac:dyDescent="0.4">
      <c r="C82" s="67" t="s">
        <v>144</v>
      </c>
      <c r="D82" s="66">
        <f t="shared" si="30"/>
        <v>0</v>
      </c>
      <c r="E82" s="67">
        <v>56</v>
      </c>
      <c r="F82" s="68">
        <f t="shared" si="23"/>
        <v>10</v>
      </c>
      <c r="G82" s="68">
        <f t="shared" si="31"/>
        <v>4</v>
      </c>
      <c r="H82" s="69" t="str">
        <f t="shared" si="44"/>
        <v>T_03</v>
      </c>
      <c r="I82" s="69" t="str">
        <f t="shared" si="45"/>
        <v>T_09</v>
      </c>
      <c r="J82" s="69">
        <f t="shared" ref="J82" si="56">J77+1</f>
        <v>12</v>
      </c>
      <c r="K82" s="70">
        <f t="shared" si="32"/>
        <v>43844</v>
      </c>
      <c r="L82">
        <v>43437</v>
      </c>
      <c r="M82">
        <v>43437</v>
      </c>
      <c r="O82"/>
      <c r="P82" s="124">
        <v>56</v>
      </c>
      <c r="Q82" s="124" t="str">
        <f t="shared" ca="1" si="46"/>
        <v>Christiansfelt</v>
      </c>
      <c r="R82" s="124" t="str">
        <f t="shared" ca="1" si="47"/>
        <v>Indre By</v>
      </c>
      <c r="S82" s="135"/>
      <c r="T82" s="125" t="str">
        <f>IFERROR(T81+mMin,"-")</f>
        <v>-</v>
      </c>
      <c r="U82" s="149"/>
      <c r="V82" s="150"/>
      <c r="W82" s="151"/>
      <c r="X82" s="126" t="str">
        <f t="shared" si="28"/>
        <v>-</v>
      </c>
      <c r="Y82" s="126" t="str">
        <f t="shared" si="29"/>
        <v>-</v>
      </c>
    </row>
    <row r="83" spans="3:25" ht="17.399999999999999" x14ac:dyDescent="0.35">
      <c r="C83" s="63" t="s">
        <v>146</v>
      </c>
      <c r="D83" s="62">
        <f t="shared" si="30"/>
        <v>0</v>
      </c>
      <c r="E83" s="63">
        <v>57</v>
      </c>
      <c r="F83" s="51">
        <f t="shared" si="23"/>
        <v>6</v>
      </c>
      <c r="G83" s="51">
        <f t="shared" si="31"/>
        <v>2</v>
      </c>
      <c r="H83" s="64" t="str">
        <f t="shared" si="44"/>
        <v>T_01</v>
      </c>
      <c r="I83" s="64" t="str">
        <f t="shared" si="45"/>
        <v>T_05</v>
      </c>
      <c r="J83" s="64">
        <f t="shared" ref="J83" si="57">J82</f>
        <v>12</v>
      </c>
      <c r="K83" s="65">
        <f t="shared" si="32"/>
        <v>43844</v>
      </c>
      <c r="L83">
        <v>43437</v>
      </c>
      <c r="M83">
        <v>43437</v>
      </c>
      <c r="O83"/>
      <c r="P83" s="160">
        <v>57</v>
      </c>
      <c r="Q83" s="160" t="str">
        <f t="shared" ca="1" si="46"/>
        <v>Assens</v>
      </c>
      <c r="R83" s="160" t="str">
        <f t="shared" ca="1" si="47"/>
        <v>Ejby</v>
      </c>
      <c r="S83" s="161"/>
      <c r="T83" s="162" t="s">
        <v>33</v>
      </c>
      <c r="U83" s="163"/>
      <c r="V83" s="164"/>
      <c r="W83" s="165"/>
      <c r="X83" s="166" t="str">
        <f t="shared" si="28"/>
        <v>-</v>
      </c>
      <c r="Y83" s="166" t="str">
        <f t="shared" si="29"/>
        <v>-</v>
      </c>
    </row>
    <row r="84" spans="3:25" ht="17.399999999999999" x14ac:dyDescent="0.35">
      <c r="C84" s="56" t="s">
        <v>147</v>
      </c>
      <c r="D84" s="57">
        <f t="shared" si="30"/>
        <v>0</v>
      </c>
      <c r="E84" s="56">
        <v>58</v>
      </c>
      <c r="F84" s="58">
        <f t="shared" si="23"/>
        <v>7</v>
      </c>
      <c r="G84" s="58">
        <f t="shared" si="31"/>
        <v>5</v>
      </c>
      <c r="H84" s="59" t="str">
        <f t="shared" si="44"/>
        <v>T_04</v>
      </c>
      <c r="I84" s="59" t="str">
        <f t="shared" si="45"/>
        <v>T_06</v>
      </c>
      <c r="J84" s="59">
        <f t="shared" si="37"/>
        <v>12</v>
      </c>
      <c r="K84" s="60">
        <f t="shared" si="32"/>
        <v>43844</v>
      </c>
      <c r="L84">
        <v>43437</v>
      </c>
      <c r="M84">
        <v>43437</v>
      </c>
      <c r="O84"/>
      <c r="P84" s="122">
        <v>58</v>
      </c>
      <c r="Q84" s="122" t="str">
        <f t="shared" ca="1" si="46"/>
        <v>Dragør</v>
      </c>
      <c r="R84" s="122" t="str">
        <f t="shared" ca="1" si="47"/>
        <v>Fjerritslev</v>
      </c>
      <c r="S84" s="134"/>
      <c r="T84" s="123" t="str">
        <f>IFERROR(T83+mMin,"-")</f>
        <v>-</v>
      </c>
      <c r="U84" s="146"/>
      <c r="V84" s="147"/>
      <c r="W84" s="148"/>
      <c r="X84" s="121" t="str">
        <f t="shared" si="28"/>
        <v>-</v>
      </c>
      <c r="Y84" s="121" t="str">
        <f t="shared" si="29"/>
        <v>-</v>
      </c>
    </row>
    <row r="85" spans="3:25" ht="17.399999999999999" x14ac:dyDescent="0.35">
      <c r="C85" s="56" t="s">
        <v>148</v>
      </c>
      <c r="D85" s="57">
        <f t="shared" si="30"/>
        <v>0</v>
      </c>
      <c r="E85" s="56">
        <v>59</v>
      </c>
      <c r="F85" s="58">
        <f t="shared" si="23"/>
        <v>8</v>
      </c>
      <c r="G85" s="58">
        <f t="shared" si="31"/>
        <v>4</v>
      </c>
      <c r="H85" s="59" t="str">
        <f t="shared" si="44"/>
        <v>T_03</v>
      </c>
      <c r="I85" s="59" t="str">
        <f t="shared" si="45"/>
        <v>T_07</v>
      </c>
      <c r="J85" s="59">
        <f t="shared" si="37"/>
        <v>12</v>
      </c>
      <c r="K85" s="60">
        <f t="shared" si="32"/>
        <v>43844</v>
      </c>
      <c r="L85">
        <v>43437</v>
      </c>
      <c r="M85">
        <v>43437</v>
      </c>
      <c r="O85"/>
      <c r="P85" s="122">
        <v>59</v>
      </c>
      <c r="Q85" s="122" t="str">
        <f t="shared" ca="1" si="46"/>
        <v>Christiansfelt</v>
      </c>
      <c r="R85" s="122" t="str">
        <f t="shared" ca="1" si="47"/>
        <v>Glamsbjerg</v>
      </c>
      <c r="S85" s="134"/>
      <c r="T85" s="123" t="str">
        <f>IFERROR(T84+mMin,"-")</f>
        <v>-</v>
      </c>
      <c r="U85" s="146"/>
      <c r="V85" s="147"/>
      <c r="W85" s="148"/>
      <c r="X85" s="121" t="str">
        <f t="shared" si="28"/>
        <v>-</v>
      </c>
      <c r="Y85" s="121" t="str">
        <f t="shared" si="29"/>
        <v>-</v>
      </c>
    </row>
    <row r="86" spans="3:25" ht="18" thickBot="1" x14ac:dyDescent="0.4">
      <c r="C86" s="67" t="s">
        <v>149</v>
      </c>
      <c r="D86" s="66">
        <f t="shared" si="30"/>
        <v>0</v>
      </c>
      <c r="E86" s="67">
        <v>60</v>
      </c>
      <c r="F86" s="68">
        <f t="shared" si="23"/>
        <v>9</v>
      </c>
      <c r="G86" s="68">
        <f t="shared" si="31"/>
        <v>3</v>
      </c>
      <c r="H86" s="69" t="str">
        <f t="shared" si="44"/>
        <v>T_02</v>
      </c>
      <c r="I86" s="69" t="str">
        <f t="shared" si="45"/>
        <v>T_08</v>
      </c>
      <c r="J86" s="69">
        <f t="shared" si="37"/>
        <v>12</v>
      </c>
      <c r="K86" s="70">
        <f t="shared" si="32"/>
        <v>43844</v>
      </c>
      <c r="L86">
        <v>43437</v>
      </c>
      <c r="M86">
        <v>43437</v>
      </c>
      <c r="O86"/>
      <c r="P86" s="124">
        <v>60</v>
      </c>
      <c r="Q86" s="124" t="str">
        <f t="shared" ca="1" si="46"/>
        <v>Bogense</v>
      </c>
      <c r="R86" s="124" t="str">
        <f t="shared" ca="1" si="47"/>
        <v>Holeby</v>
      </c>
      <c r="S86" s="135"/>
      <c r="T86" s="125" t="str">
        <f>IFERROR(T85+mMin,"-")</f>
        <v>-</v>
      </c>
      <c r="U86" s="149"/>
      <c r="V86" s="150"/>
      <c r="W86" s="151"/>
      <c r="X86" s="126" t="str">
        <f t="shared" si="28"/>
        <v>-</v>
      </c>
      <c r="Y86" s="126" t="str">
        <f t="shared" si="29"/>
        <v>-</v>
      </c>
    </row>
    <row r="87" spans="3:25" ht="17.399999999999999" x14ac:dyDescent="0.35">
      <c r="C87" s="63" t="s">
        <v>151</v>
      </c>
      <c r="D87" s="62">
        <f t="shared" si="30"/>
        <v>0</v>
      </c>
      <c r="E87" s="63">
        <v>61</v>
      </c>
      <c r="F87" s="51">
        <f t="shared" si="23"/>
        <v>2</v>
      </c>
      <c r="G87" s="51">
        <f t="shared" si="31"/>
        <v>5</v>
      </c>
      <c r="H87" s="64" t="str">
        <f t="shared" si="44"/>
        <v>T_04</v>
      </c>
      <c r="I87" s="64" t="str">
        <f t="shared" si="45"/>
        <v>T_01</v>
      </c>
      <c r="J87" s="64">
        <f t="shared" ref="J87" si="58">J82+1</f>
        <v>13</v>
      </c>
      <c r="K87" s="65">
        <f t="shared" si="32"/>
        <v>43845</v>
      </c>
      <c r="L87">
        <v>43437</v>
      </c>
      <c r="M87">
        <v>43437</v>
      </c>
      <c r="O87"/>
      <c r="P87" s="160">
        <v>61</v>
      </c>
      <c r="Q87" s="160" t="str">
        <f t="shared" ca="1" si="46"/>
        <v>Dragør</v>
      </c>
      <c r="R87" s="160" t="str">
        <f t="shared" ca="1" si="47"/>
        <v>Assens</v>
      </c>
      <c r="S87" s="161"/>
      <c r="T87" s="162" t="s">
        <v>33</v>
      </c>
      <c r="U87" s="163"/>
      <c r="V87" s="164"/>
      <c r="W87" s="165"/>
      <c r="X87" s="166" t="str">
        <f t="shared" si="28"/>
        <v>-</v>
      </c>
      <c r="Y87" s="166" t="str">
        <f t="shared" si="29"/>
        <v>-</v>
      </c>
    </row>
    <row r="88" spans="3:25" ht="17.399999999999999" x14ac:dyDescent="0.35">
      <c r="C88" s="56" t="s">
        <v>152</v>
      </c>
      <c r="D88" s="57">
        <f t="shared" si="30"/>
        <v>0</v>
      </c>
      <c r="E88" s="56">
        <v>62</v>
      </c>
      <c r="F88" s="58">
        <f t="shared" si="23"/>
        <v>6</v>
      </c>
      <c r="G88" s="58">
        <f t="shared" si="31"/>
        <v>4</v>
      </c>
      <c r="H88" s="59" t="str">
        <f t="shared" si="44"/>
        <v>T_03</v>
      </c>
      <c r="I88" s="59" t="str">
        <f t="shared" si="45"/>
        <v>T_05</v>
      </c>
      <c r="J88" s="59">
        <f t="shared" ref="J88" si="59">J87</f>
        <v>13</v>
      </c>
      <c r="K88" s="60">
        <f t="shared" si="32"/>
        <v>43845</v>
      </c>
      <c r="L88">
        <v>43437</v>
      </c>
      <c r="M88">
        <v>43437</v>
      </c>
      <c r="O88"/>
      <c r="P88" s="122">
        <v>62</v>
      </c>
      <c r="Q88" s="122" t="str">
        <f t="shared" ca="1" si="46"/>
        <v>Christiansfelt</v>
      </c>
      <c r="R88" s="122" t="str">
        <f t="shared" ca="1" si="47"/>
        <v>Ejby</v>
      </c>
      <c r="S88" s="134"/>
      <c r="T88" s="123" t="str">
        <f>IFERROR(T87+mMin,"-")</f>
        <v>-</v>
      </c>
      <c r="U88" s="146"/>
      <c r="V88" s="147"/>
      <c r="W88" s="148"/>
      <c r="X88" s="121" t="str">
        <f t="shared" si="28"/>
        <v>-</v>
      </c>
      <c r="Y88" s="121" t="str">
        <f t="shared" si="29"/>
        <v>-</v>
      </c>
    </row>
    <row r="89" spans="3:25" ht="17.399999999999999" x14ac:dyDescent="0.35">
      <c r="C89" s="56" t="s">
        <v>153</v>
      </c>
      <c r="D89" s="57">
        <f t="shared" si="30"/>
        <v>0</v>
      </c>
      <c r="E89" s="56">
        <v>63</v>
      </c>
      <c r="F89" s="58">
        <f t="shared" si="23"/>
        <v>7</v>
      </c>
      <c r="G89" s="58">
        <f t="shared" si="31"/>
        <v>3</v>
      </c>
      <c r="H89" s="59" t="str">
        <f t="shared" si="44"/>
        <v>T_02</v>
      </c>
      <c r="I89" s="59" t="str">
        <f t="shared" si="45"/>
        <v>T_06</v>
      </c>
      <c r="J89" s="59">
        <f t="shared" si="37"/>
        <v>13</v>
      </c>
      <c r="K89" s="60">
        <f t="shared" si="32"/>
        <v>43845</v>
      </c>
      <c r="L89">
        <v>43437</v>
      </c>
      <c r="M89">
        <v>43437</v>
      </c>
      <c r="O89"/>
      <c r="P89" s="122">
        <v>63</v>
      </c>
      <c r="Q89" s="122" t="str">
        <f t="shared" ca="1" si="46"/>
        <v>Bogense</v>
      </c>
      <c r="R89" s="122" t="str">
        <f t="shared" ca="1" si="47"/>
        <v>Fjerritslev</v>
      </c>
      <c r="S89" s="134"/>
      <c r="T89" s="123" t="str">
        <f>IFERROR(T88+mMin,"-")</f>
        <v>-</v>
      </c>
      <c r="U89" s="146"/>
      <c r="V89" s="147"/>
      <c r="W89" s="148"/>
      <c r="X89" s="121" t="str">
        <f t="shared" si="28"/>
        <v>-</v>
      </c>
      <c r="Y89" s="121" t="str">
        <f t="shared" si="29"/>
        <v>-</v>
      </c>
    </row>
    <row r="90" spans="3:25" ht="18" thickBot="1" x14ac:dyDescent="0.4">
      <c r="C90" s="67" t="s">
        <v>155</v>
      </c>
      <c r="D90" s="66">
        <f t="shared" si="30"/>
        <v>0</v>
      </c>
      <c r="E90" s="67">
        <v>64</v>
      </c>
      <c r="F90" s="68">
        <f t="shared" si="23"/>
        <v>9</v>
      </c>
      <c r="G90" s="68">
        <f t="shared" si="31"/>
        <v>10</v>
      </c>
      <c r="H90" s="69" t="str">
        <f t="shared" si="44"/>
        <v>T_09</v>
      </c>
      <c r="I90" s="69" t="str">
        <f t="shared" si="45"/>
        <v>T_08</v>
      </c>
      <c r="J90" s="69">
        <f t="shared" si="37"/>
        <v>13</v>
      </c>
      <c r="K90" s="70">
        <f t="shared" si="32"/>
        <v>43845</v>
      </c>
      <c r="L90">
        <v>43437</v>
      </c>
      <c r="M90">
        <v>43437</v>
      </c>
      <c r="O90"/>
      <c r="P90" s="124">
        <v>64</v>
      </c>
      <c r="Q90" s="124" t="str">
        <f t="shared" ca="1" si="46"/>
        <v>Indre By</v>
      </c>
      <c r="R90" s="124" t="str">
        <f t="shared" ca="1" si="47"/>
        <v>Holeby</v>
      </c>
      <c r="S90" s="135"/>
      <c r="T90" s="125" t="str">
        <f>IFERROR(T89+mMin,"-")</f>
        <v>-</v>
      </c>
      <c r="U90" s="149"/>
      <c r="V90" s="150"/>
      <c r="W90" s="151"/>
      <c r="X90" s="126" t="str">
        <f t="shared" si="28"/>
        <v>-</v>
      </c>
      <c r="Y90" s="126" t="str">
        <f t="shared" si="29"/>
        <v>-</v>
      </c>
    </row>
    <row r="91" spans="3:25" ht="17.399999999999999" x14ac:dyDescent="0.35">
      <c r="C91" s="63" t="s">
        <v>156</v>
      </c>
      <c r="D91" s="62">
        <f t="shared" si="30"/>
        <v>0</v>
      </c>
      <c r="E91" s="63">
        <v>65</v>
      </c>
      <c r="F91" s="51">
        <f t="shared" si="23"/>
        <v>4</v>
      </c>
      <c r="G91" s="51">
        <f t="shared" si="31"/>
        <v>2</v>
      </c>
      <c r="H91" s="64" t="str">
        <f t="shared" ref="H91:H98" si="60">INDEX(HxA,G91,1)</f>
        <v>T_01</v>
      </c>
      <c r="I91" s="64" t="str">
        <f t="shared" ref="I91:I98" si="61">INDEX(HxA,1,F91)</f>
        <v>T_03</v>
      </c>
      <c r="J91" s="64">
        <f t="shared" si="37"/>
        <v>13</v>
      </c>
      <c r="K91" s="65">
        <f t="shared" si="32"/>
        <v>43845</v>
      </c>
      <c r="L91">
        <v>43437</v>
      </c>
      <c r="M91">
        <v>43437</v>
      </c>
      <c r="O91"/>
      <c r="P91" s="160">
        <v>65</v>
      </c>
      <c r="Q91" s="160" t="str">
        <f t="shared" ref="Q91:Q98" ca="1" si="62">INDIRECT(H91)</f>
        <v>Assens</v>
      </c>
      <c r="R91" s="160" t="str">
        <f t="shared" ref="R91:R98" ca="1" si="63">INDIRECT(I91)</f>
        <v>Christiansfelt</v>
      </c>
      <c r="S91" s="161"/>
      <c r="T91" s="162" t="s">
        <v>33</v>
      </c>
      <c r="U91" s="163"/>
      <c r="V91" s="164"/>
      <c r="W91" s="165"/>
      <c r="X91" s="166" t="str">
        <f t="shared" ref="X91:X98" si="64">IF(ISNUMBER(V91)*ISNUMBER(W91),IF(V91&gt;W91,ptv, IF(V91=W91,ptu,ptt)),"-")</f>
        <v>-</v>
      </c>
      <c r="Y91" s="166" t="str">
        <f t="shared" ref="Y91:Y98" si="65">IF(ISNUMBER(V91)*ISNUMBER(W91),IF(X91=ptv,ptt,IF(X91=ptu,ptu,ptv)),"-")</f>
        <v>-</v>
      </c>
    </row>
    <row r="92" spans="3:25" ht="17.399999999999999" x14ac:dyDescent="0.35">
      <c r="C92" s="56" t="s">
        <v>157</v>
      </c>
      <c r="D92" s="57">
        <f t="shared" ref="D92:D98" si="66">OR(H92=H91,H92=I91,I92=H91,I92=I91)*1</f>
        <v>0</v>
      </c>
      <c r="E92" s="56">
        <v>66</v>
      </c>
      <c r="F92" s="58">
        <f t="shared" ref="F92:F98" si="67">SUMPRODUCT((HxA=$E92)*(COLUMN(HxA)))-COLUMN(HxA)+1</f>
        <v>5</v>
      </c>
      <c r="G92" s="58">
        <f t="shared" ref="G92:G98" si="68">SUMPRODUCT((HxA=$E92)*(ROW(HxA)))-ROW(HxA)+1</f>
        <v>3</v>
      </c>
      <c r="H92" s="59" t="str">
        <f t="shared" si="60"/>
        <v>T_02</v>
      </c>
      <c r="I92" s="59" t="str">
        <f t="shared" si="61"/>
        <v>T_04</v>
      </c>
      <c r="J92" s="59">
        <f t="shared" ref="J92" si="69">J87+1</f>
        <v>14</v>
      </c>
      <c r="K92" s="60">
        <f t="shared" ref="K92:K98" si="70">$K$27+J92</f>
        <v>43846</v>
      </c>
      <c r="L92">
        <v>43437</v>
      </c>
      <c r="M92">
        <v>43437</v>
      </c>
      <c r="O92"/>
      <c r="P92" s="122">
        <v>66</v>
      </c>
      <c r="Q92" s="122" t="str">
        <f t="shared" ca="1" si="62"/>
        <v>Bogense</v>
      </c>
      <c r="R92" s="122" t="str">
        <f t="shared" ca="1" si="63"/>
        <v>Dragør</v>
      </c>
      <c r="S92" s="134"/>
      <c r="T92" s="123" t="str">
        <f>IFERROR(T91+mMin,"-")</f>
        <v>-</v>
      </c>
      <c r="U92" s="146"/>
      <c r="V92" s="147"/>
      <c r="W92" s="148"/>
      <c r="X92" s="121" t="str">
        <f t="shared" si="64"/>
        <v>-</v>
      </c>
      <c r="Y92" s="121" t="str">
        <f t="shared" si="65"/>
        <v>-</v>
      </c>
    </row>
    <row r="93" spans="3:25" ht="17.399999999999999" x14ac:dyDescent="0.35">
      <c r="C93" s="56" t="s">
        <v>159</v>
      </c>
      <c r="D93" s="57">
        <f t="shared" si="66"/>
        <v>0</v>
      </c>
      <c r="E93" s="56">
        <v>67</v>
      </c>
      <c r="F93" s="58">
        <f t="shared" si="67"/>
        <v>7</v>
      </c>
      <c r="G93" s="58">
        <f t="shared" si="68"/>
        <v>10</v>
      </c>
      <c r="H93" s="59" t="str">
        <f t="shared" si="60"/>
        <v>T_09</v>
      </c>
      <c r="I93" s="59" t="str">
        <f t="shared" si="61"/>
        <v>T_06</v>
      </c>
      <c r="J93" s="59">
        <f t="shared" ref="J93" si="71">J92</f>
        <v>14</v>
      </c>
      <c r="K93" s="60">
        <f t="shared" si="70"/>
        <v>43846</v>
      </c>
      <c r="L93">
        <v>43437</v>
      </c>
      <c r="M93">
        <v>43437</v>
      </c>
      <c r="O93"/>
      <c r="P93" s="122">
        <v>67</v>
      </c>
      <c r="Q93" s="122" t="str">
        <f t="shared" ca="1" si="62"/>
        <v>Indre By</v>
      </c>
      <c r="R93" s="122" t="str">
        <f t="shared" ca="1" si="63"/>
        <v>Fjerritslev</v>
      </c>
      <c r="S93" s="134"/>
      <c r="T93" s="123" t="str">
        <f>IFERROR(T92+mMin,"-")</f>
        <v>-</v>
      </c>
      <c r="U93" s="146"/>
      <c r="V93" s="147"/>
      <c r="W93" s="148"/>
      <c r="X93" s="121" t="str">
        <f t="shared" si="64"/>
        <v>-</v>
      </c>
      <c r="Y93" s="121" t="str">
        <f t="shared" si="65"/>
        <v>-</v>
      </c>
    </row>
    <row r="94" spans="3:25" ht="18" thickBot="1" x14ac:dyDescent="0.4">
      <c r="C94" s="67" t="s">
        <v>160</v>
      </c>
      <c r="D94" s="66">
        <f t="shared" si="66"/>
        <v>0</v>
      </c>
      <c r="E94" s="67">
        <v>68</v>
      </c>
      <c r="F94" s="68">
        <f t="shared" si="67"/>
        <v>8</v>
      </c>
      <c r="G94" s="68">
        <f t="shared" si="68"/>
        <v>9</v>
      </c>
      <c r="H94" s="69" t="str">
        <f t="shared" si="60"/>
        <v>T_08</v>
      </c>
      <c r="I94" s="69" t="str">
        <f t="shared" si="61"/>
        <v>T_07</v>
      </c>
      <c r="J94" s="69">
        <f t="shared" si="37"/>
        <v>14</v>
      </c>
      <c r="K94" s="70">
        <f t="shared" si="70"/>
        <v>43846</v>
      </c>
      <c r="L94">
        <v>43437</v>
      </c>
      <c r="M94">
        <v>43437</v>
      </c>
      <c r="O94"/>
      <c r="P94" s="124">
        <v>68</v>
      </c>
      <c r="Q94" s="124" t="str">
        <f t="shared" ca="1" si="62"/>
        <v>Holeby</v>
      </c>
      <c r="R94" s="124" t="str">
        <f t="shared" ca="1" si="63"/>
        <v>Glamsbjerg</v>
      </c>
      <c r="S94" s="135"/>
      <c r="T94" s="125" t="str">
        <f>IFERROR(T93+mMin,"-")</f>
        <v>-</v>
      </c>
      <c r="U94" s="149"/>
      <c r="V94" s="150"/>
      <c r="W94" s="151"/>
      <c r="X94" s="126" t="str">
        <f t="shared" si="64"/>
        <v>-</v>
      </c>
      <c r="Y94" s="126" t="str">
        <f t="shared" si="65"/>
        <v>-</v>
      </c>
    </row>
    <row r="95" spans="3:25" ht="17.399999999999999" x14ac:dyDescent="0.35">
      <c r="C95" s="63" t="s">
        <v>161</v>
      </c>
      <c r="D95" s="62">
        <f t="shared" si="66"/>
        <v>0</v>
      </c>
      <c r="E95" s="63">
        <v>69</v>
      </c>
      <c r="F95" s="51">
        <f t="shared" si="67"/>
        <v>2</v>
      </c>
      <c r="G95" s="51">
        <f t="shared" si="68"/>
        <v>3</v>
      </c>
      <c r="H95" s="64" t="str">
        <f t="shared" si="60"/>
        <v>T_02</v>
      </c>
      <c r="I95" s="64" t="str">
        <f t="shared" si="61"/>
        <v>T_01</v>
      </c>
      <c r="J95" s="64">
        <f t="shared" si="37"/>
        <v>14</v>
      </c>
      <c r="K95" s="65">
        <f t="shared" si="70"/>
        <v>43846</v>
      </c>
      <c r="L95">
        <v>43437</v>
      </c>
      <c r="M95">
        <v>43437</v>
      </c>
      <c r="O95"/>
      <c r="P95" s="160">
        <v>69</v>
      </c>
      <c r="Q95" s="160" t="str">
        <f t="shared" ca="1" si="62"/>
        <v>Bogense</v>
      </c>
      <c r="R95" s="160" t="str">
        <f t="shared" ca="1" si="63"/>
        <v>Assens</v>
      </c>
      <c r="S95" s="161"/>
      <c r="T95" s="162" t="s">
        <v>33</v>
      </c>
      <c r="U95" s="163"/>
      <c r="V95" s="164"/>
      <c r="W95" s="165"/>
      <c r="X95" s="166" t="str">
        <f t="shared" si="64"/>
        <v>-</v>
      </c>
      <c r="Y95" s="166" t="str">
        <f t="shared" si="65"/>
        <v>-</v>
      </c>
    </row>
    <row r="96" spans="3:25" ht="17.399999999999999" x14ac:dyDescent="0.35">
      <c r="C96" s="56" t="s">
        <v>163</v>
      </c>
      <c r="D96" s="57">
        <f t="shared" si="66"/>
        <v>0</v>
      </c>
      <c r="E96" s="56">
        <v>70</v>
      </c>
      <c r="F96" s="58">
        <f t="shared" si="67"/>
        <v>5</v>
      </c>
      <c r="G96" s="58">
        <f t="shared" si="68"/>
        <v>10</v>
      </c>
      <c r="H96" s="59" t="str">
        <f t="shared" si="60"/>
        <v>T_09</v>
      </c>
      <c r="I96" s="59" t="str">
        <f t="shared" si="61"/>
        <v>T_04</v>
      </c>
      <c r="J96" s="59">
        <f t="shared" si="37"/>
        <v>14</v>
      </c>
      <c r="K96" s="60">
        <f t="shared" si="70"/>
        <v>43846</v>
      </c>
      <c r="L96">
        <v>43437</v>
      </c>
      <c r="M96">
        <v>43437</v>
      </c>
      <c r="O96"/>
      <c r="P96" s="122">
        <v>70</v>
      </c>
      <c r="Q96" s="122" t="str">
        <f t="shared" ca="1" si="62"/>
        <v>Indre By</v>
      </c>
      <c r="R96" s="122" t="str">
        <f t="shared" ca="1" si="63"/>
        <v>Dragør</v>
      </c>
      <c r="S96" s="134"/>
      <c r="T96" s="123" t="str">
        <f>IFERROR(T95+mMin,"-")</f>
        <v>-</v>
      </c>
      <c r="U96" s="146"/>
      <c r="V96" s="147"/>
      <c r="W96" s="148"/>
      <c r="X96" s="121" t="str">
        <f t="shared" si="64"/>
        <v>-</v>
      </c>
      <c r="Y96" s="121" t="str">
        <f t="shared" si="65"/>
        <v>-</v>
      </c>
    </row>
    <row r="97" spans="3:25" ht="17.399999999999999" x14ac:dyDescent="0.35">
      <c r="C97" s="56" t="s">
        <v>164</v>
      </c>
      <c r="D97" s="57">
        <f t="shared" si="66"/>
        <v>0</v>
      </c>
      <c r="E97" s="56">
        <v>71</v>
      </c>
      <c r="F97" s="58">
        <f t="shared" si="67"/>
        <v>6</v>
      </c>
      <c r="G97" s="58">
        <f t="shared" si="68"/>
        <v>9</v>
      </c>
      <c r="H97" s="59" t="str">
        <f t="shared" si="60"/>
        <v>T_08</v>
      </c>
      <c r="I97" s="59" t="str">
        <f t="shared" si="61"/>
        <v>T_05</v>
      </c>
      <c r="J97" s="59">
        <f t="shared" ref="J97" si="72">J92+1</f>
        <v>15</v>
      </c>
      <c r="K97" s="60">
        <f t="shared" si="70"/>
        <v>43847</v>
      </c>
      <c r="L97">
        <v>43437</v>
      </c>
      <c r="M97">
        <v>43437</v>
      </c>
      <c r="O97"/>
      <c r="P97" s="122">
        <v>71</v>
      </c>
      <c r="Q97" s="122" t="str">
        <f t="shared" ca="1" si="62"/>
        <v>Holeby</v>
      </c>
      <c r="R97" s="122" t="str">
        <f t="shared" ca="1" si="63"/>
        <v>Ejby</v>
      </c>
      <c r="S97" s="134"/>
      <c r="T97" s="123" t="str">
        <f>IFERROR(T96+mMin,"-")</f>
        <v>-</v>
      </c>
      <c r="U97" s="146"/>
      <c r="V97" s="147"/>
      <c r="W97" s="148"/>
      <c r="X97" s="121" t="str">
        <f t="shared" si="64"/>
        <v>-</v>
      </c>
      <c r="Y97" s="121" t="str">
        <f t="shared" si="65"/>
        <v>-</v>
      </c>
    </row>
    <row r="98" spans="3:25" ht="18" thickBot="1" x14ac:dyDescent="0.4">
      <c r="C98" s="76" t="s">
        <v>165</v>
      </c>
      <c r="D98" s="77">
        <f t="shared" si="66"/>
        <v>0</v>
      </c>
      <c r="E98" s="76">
        <v>72</v>
      </c>
      <c r="F98" s="78">
        <f t="shared" si="67"/>
        <v>7</v>
      </c>
      <c r="G98" s="78">
        <f t="shared" si="68"/>
        <v>8</v>
      </c>
      <c r="H98" s="79" t="str">
        <f t="shared" si="60"/>
        <v>T_07</v>
      </c>
      <c r="I98" s="79" t="str">
        <f t="shared" si="61"/>
        <v>T_06</v>
      </c>
      <c r="J98" s="79">
        <f t="shared" ref="J98" si="73">J97</f>
        <v>15</v>
      </c>
      <c r="K98" s="80">
        <f t="shared" si="70"/>
        <v>43847</v>
      </c>
      <c r="L98">
        <v>43437</v>
      </c>
      <c r="M98">
        <v>43437</v>
      </c>
      <c r="O98"/>
      <c r="P98" s="124">
        <v>72</v>
      </c>
      <c r="Q98" s="124" t="str">
        <f t="shared" ca="1" si="62"/>
        <v>Glamsbjerg</v>
      </c>
      <c r="R98" s="124" t="str">
        <f t="shared" ca="1" si="63"/>
        <v>Fjerritslev</v>
      </c>
      <c r="S98" s="135"/>
      <c r="T98" s="125" t="str">
        <f>IFERROR(T97+mMin,"-")</f>
        <v>-</v>
      </c>
      <c r="U98" s="149"/>
      <c r="V98" s="150"/>
      <c r="W98" s="151"/>
      <c r="X98" s="126" t="str">
        <f t="shared" si="64"/>
        <v>-</v>
      </c>
      <c r="Y98" s="126" t="str">
        <f t="shared" si="65"/>
        <v>-</v>
      </c>
    </row>
    <row r="99" spans="3:25" ht="13.2" thickBot="1" x14ac:dyDescent="0.25">
      <c r="H99" s="19" t="s">
        <v>34</v>
      </c>
      <c r="I99" s="19" t="s">
        <v>35</v>
      </c>
      <c r="J99" s="19"/>
      <c r="K99" s="38"/>
      <c r="L99">
        <v>43437</v>
      </c>
      <c r="M99">
        <v>43437</v>
      </c>
      <c r="O99"/>
      <c r="Q99" s="92"/>
      <c r="R99" s="92"/>
      <c r="S99" s="92"/>
      <c r="T99" s="93"/>
      <c r="U99" s="5"/>
      <c r="V99" s="5"/>
      <c r="W99" s="94"/>
    </row>
    <row r="100" spans="3:25" ht="18" thickBot="1" x14ac:dyDescent="0.4">
      <c r="H100" s="20" t="str">
        <f>IF(ISNUMBER(V100),IF(V100&gt;W100,Q100,R100),"")</f>
        <v/>
      </c>
      <c r="I100" s="20" t="str">
        <f>IF(ISNUMBER(V100),IF(H100=Q100,R100,Q100),"")</f>
        <v/>
      </c>
      <c r="J100" s="43">
        <f>J98+1</f>
        <v>16</v>
      </c>
      <c r="K100" s="17">
        <f>$K$27+J100</f>
        <v>43848</v>
      </c>
      <c r="L100">
        <v>43437</v>
      </c>
      <c r="M100">
        <v>43437</v>
      </c>
      <c r="O100"/>
      <c r="P100" s="89" t="s">
        <v>64</v>
      </c>
      <c r="Q100" s="90"/>
      <c r="R100" s="90"/>
      <c r="S100" s="174"/>
      <c r="T100" s="175"/>
      <c r="U100" s="176"/>
      <c r="V100" s="177"/>
      <c r="W100" s="178"/>
      <c r="X100" s="21" t="str">
        <f t="shared" ref="X100" si="74">IF(ISNUMBER(V100)*ISNUMBER(W100),IF(V100&gt;W100,ptv, IF(V100=W100,ptu,ptt)),"-")</f>
        <v>-</v>
      </c>
      <c r="Y100" s="21" t="str">
        <f t="shared" ref="Y100" si="75">IF(ISNUMBER(V100)*ISNUMBER(W100),IF(X100=ptv,ptt,IF(X100=ptu,ptu,ptv)),"-")</f>
        <v>-</v>
      </c>
    </row>
    <row r="101" spans="3:25" ht="13.2" thickBot="1" x14ac:dyDescent="0.25">
      <c r="H101" s="19" t="s">
        <v>36</v>
      </c>
      <c r="I101" s="19" t="s">
        <v>37</v>
      </c>
      <c r="J101" s="19"/>
      <c r="K101" s="38"/>
      <c r="L101">
        <v>43437</v>
      </c>
      <c r="M101">
        <v>43437</v>
      </c>
      <c r="O101"/>
      <c r="Q101" s="92"/>
      <c r="R101" s="92"/>
      <c r="S101" s="92"/>
      <c r="T101" s="5"/>
      <c r="U101" s="5"/>
      <c r="V101" s="5"/>
      <c r="W101" s="94"/>
    </row>
    <row r="102" spans="3:25" ht="18" thickBot="1" x14ac:dyDescent="0.4">
      <c r="H102" s="20" t="str">
        <f>IF(ISNUMBER(V102),IF(V102&gt;W102,Q102,R102),"")</f>
        <v/>
      </c>
      <c r="I102" s="20" t="str">
        <f>IF(ISNUMBER(V102),IF(H102=Q102,R102,Q102),"")</f>
        <v/>
      </c>
      <c r="J102" s="43">
        <f>J100</f>
        <v>16</v>
      </c>
      <c r="K102" s="17">
        <f>$K$27+J102</f>
        <v>43848</v>
      </c>
      <c r="O102"/>
      <c r="P102" s="88" t="s">
        <v>175</v>
      </c>
      <c r="Q102" s="90"/>
      <c r="R102" s="90"/>
      <c r="S102" s="174"/>
      <c r="T102" s="175"/>
      <c r="U102" s="176"/>
      <c r="V102" s="177"/>
      <c r="W102" s="178"/>
      <c r="X102" s="21" t="str">
        <f t="shared" ref="X102" si="76">IF(ISNUMBER(V102)*ISNUMBER(W102),IF(V102&gt;W102,ptv, IF(V102=W102,ptu,ptt)),"-")</f>
        <v>-</v>
      </c>
      <c r="Y102" s="21" t="str">
        <f t="shared" ref="Y102" si="77">IF(ISNUMBER(V102)*ISNUMBER(W102),IF(X102=ptv,ptt,IF(X102=ptu,ptu,ptv)),"-")</f>
        <v>-</v>
      </c>
    </row>
  </sheetData>
  <sheetProtection sheet="1" objects="1" scenarios="1"/>
  <conditionalFormatting sqref="D28:D29">
    <cfRule type="expression" dxfId="19" priority="9">
      <formula>D28=1</formula>
    </cfRule>
  </conditionalFormatting>
  <conditionalFormatting sqref="D30:D34">
    <cfRule type="expression" dxfId="18" priority="6">
      <formula>D30=1</formula>
    </cfRule>
  </conditionalFormatting>
  <conditionalFormatting sqref="B16:J24">
    <cfRule type="duplicateValues" dxfId="17" priority="30"/>
    <cfRule type="expression" dxfId="16" priority="31">
      <formula>AND(MOD(B16,2)=0,ISNUMBER(B16))</formula>
    </cfRule>
  </conditionalFormatting>
  <conditionalFormatting sqref="D98">
    <cfRule type="expression" dxfId="15" priority="3">
      <formula>D98=1</formula>
    </cfRule>
  </conditionalFormatting>
  <conditionalFormatting sqref="D35:D97">
    <cfRule type="expression" dxfId="14" priority="4">
      <formula>D35=1</formula>
    </cfRule>
  </conditionalFormatting>
  <conditionalFormatting sqref="M3:M11">
    <cfRule type="duplicateValues" dxfId="13" priority="2"/>
  </conditionalFormatting>
  <conditionalFormatting sqref="L3:L11">
    <cfRule type="duplicateValues" dxfId="12" priority="1"/>
  </conditionalFormatting>
  <dataValidations disablePrompts="1" count="1">
    <dataValidation type="list" allowBlank="1" showInputMessage="1" showErrorMessage="1" sqref="Q100:R100 Q102:R102" xr:uid="{00000000-0002-0000-1100-000000000000}">
      <formula1>teams</formula1>
    </dataValidation>
  </dataValidations>
  <printOptions horizontalCentered="1"/>
  <pageMargins left="1.05" right="0.83" top="0.43" bottom="0.62992125984251968" header="0.27559055118110237" footer="0.31496062992125984"/>
  <pageSetup paperSize="9" scale="73" fitToHeight="2" orientation="portrait" verticalDpi="300" r:id="rId1"/>
  <headerFooter>
    <oddFooter>&amp;L&amp;D&amp;R&amp;P/&amp;N</oddFooter>
  </headerFooter>
  <rowBreaks count="1" manualBreakCount="1">
    <brk id="62" min="15" max="22"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grp10x1">
    <tabColor theme="3"/>
    <outlinePr showOutlineSymbols="0"/>
  </sheetPr>
  <dimension ref="A1:Z77"/>
  <sheetViews>
    <sheetView showGridLines="0" showRowColHeaders="0" showOutlineSymbols="0" zoomScaleNormal="100" zoomScaleSheetLayoutView="70" workbookViewId="0">
      <pane ySplit="28" topLeftCell="A29" activePane="bottomLeft" state="frozen"/>
      <selection activeCell="L43" sqref="L43"/>
      <selection pane="bottomLeft" activeCell="P29" sqref="P29"/>
    </sheetView>
  </sheetViews>
  <sheetFormatPr defaultColWidth="9" defaultRowHeight="12.6" outlineLevelRow="1" outlineLevelCol="1" x14ac:dyDescent="0.2"/>
  <cols>
    <col min="1" max="1" width="10.08984375" hidden="1" customWidth="1" outlineLevel="1"/>
    <col min="2" max="10" width="8.36328125" hidden="1" customWidth="1" outlineLevel="1"/>
    <col min="11" max="11" width="8.6328125" hidden="1" customWidth="1" outlineLevel="1"/>
    <col min="12" max="12" width="8.36328125" hidden="1" customWidth="1" outlineLevel="1"/>
    <col min="13" max="14" width="3.6328125" hidden="1" customWidth="1" outlineLevel="1"/>
    <col min="15" max="15" width="3.90625" style="13" hidden="1" customWidth="1" outlineLevel="1"/>
    <col min="16" max="16" width="3.90625" style="13" customWidth="1" collapsed="1"/>
    <col min="17" max="17" width="6" style="13" customWidth="1"/>
    <col min="18" max="19" width="20.453125" style="13" customWidth="1"/>
    <col min="20" max="20" width="9.6328125" style="13" customWidth="1"/>
    <col min="21" max="21" width="8.6328125" customWidth="1"/>
    <col min="22" max="22" width="8.453125" customWidth="1"/>
    <col min="23" max="26" width="6.26953125" customWidth="1"/>
  </cols>
  <sheetData>
    <row r="1" spans="1:26" hidden="1" outlineLevel="1" x14ac:dyDescent="0.2">
      <c r="A1" t="s">
        <v>201</v>
      </c>
      <c r="C1" t="s">
        <v>179</v>
      </c>
      <c r="G1" t="s">
        <v>186</v>
      </c>
      <c r="L1" t="s">
        <v>192</v>
      </c>
      <c r="O1"/>
      <c r="P1"/>
      <c r="Q1"/>
      <c r="R1"/>
      <c r="S1"/>
      <c r="T1"/>
    </row>
    <row r="2" spans="1:26"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c r="O2"/>
      <c r="P2"/>
      <c r="R2"/>
      <c r="S2"/>
      <c r="T2"/>
    </row>
    <row r="3" spans="1:26" hidden="1" outlineLevel="1" x14ac:dyDescent="0.2">
      <c r="A3" s="103">
        <v>1</v>
      </c>
      <c r="B3" s="103" t="str">
        <f t="shared" ref="B3:B12" si="0">INDEX(xTeams,A3,1)</f>
        <v>Assens</v>
      </c>
      <c r="C3" s="96">
        <f t="shared" ref="C3" ca="1" si="1">SUMIF(team1,teams,goals1)+SUMIF(team2,teams,goals2)</f>
        <v>0</v>
      </c>
      <c r="D3" s="96">
        <f t="shared" ref="D3" ca="1" si="2">SUMIF(team1,teams,goals2)+SUMIF(team2,teams,goals1)</f>
        <v>0</v>
      </c>
      <c r="E3" s="104">
        <f t="shared" ref="E3:E12" ca="1" si="3">SUMIFS(
   points1,team1,teams
) +
  SUMIFS(points2,team2,teams)</f>
        <v>0</v>
      </c>
      <c r="F3" s="96">
        <f t="shared" ref="F3" ca="1" si="4">C3-D3</f>
        <v>0</v>
      </c>
      <c r="G3" s="96">
        <f t="shared" ref="G3:G12" ca="1" si="5">COUNTIFS(team1,$B3,points1,"&gt;=0")+COUNTIFS(team2,$B3,points2,"&gt;=0")</f>
        <v>0</v>
      </c>
      <c r="H3" s="105">
        <f ca="1">IF(G3=0,1,0)</f>
        <v>1</v>
      </c>
      <c r="I3" s="105">
        <f ca="1">RANK($E3,$E$3:$E$12,0)-1</f>
        <v>0</v>
      </c>
      <c r="J3" s="98">
        <f ca="1">(RANK($F3,$F$3:$F$12,0)/10)-0.1</f>
        <v>0</v>
      </c>
      <c r="K3" s="99">
        <f ca="1">(RANK($C3,$C$3:$C$12,0)/100)-0.01</f>
        <v>0</v>
      </c>
      <c r="L3" s="99">
        <f ca="1">SUM(H3:K3)</f>
        <v>1</v>
      </c>
      <c r="M3" s="96">
        <f ca="1">RANK($L3,$L$3:$L$12,1) + COUNTIF($L$3:$L3,$L3)-1</f>
        <v>1</v>
      </c>
      <c r="O3"/>
      <c r="P3"/>
      <c r="R3"/>
      <c r="S3"/>
      <c r="T3"/>
    </row>
    <row r="4" spans="1:26" hidden="1" outlineLevel="1" x14ac:dyDescent="0.2">
      <c r="A4" s="103">
        <v>2</v>
      </c>
      <c r="B4" s="103" t="str">
        <f t="shared" si="0"/>
        <v>Bogense</v>
      </c>
      <c r="C4" s="96">
        <f t="shared" ref="C4:C12" ca="1" si="6">SUMIF(team1,teams,goals1)+SUMIF(team2,teams,goals2)</f>
        <v>0</v>
      </c>
      <c r="D4" s="96">
        <f t="shared" ref="D4:D12" ca="1" si="7">SUMIF(team1,teams,goals2)+SUMIF(team2,teams,goals1)</f>
        <v>0</v>
      </c>
      <c r="E4" s="104">
        <f t="shared" ca="1" si="3"/>
        <v>0</v>
      </c>
      <c r="F4" s="96">
        <f t="shared" ref="F4:F12" ca="1" si="8">C4-D4</f>
        <v>0</v>
      </c>
      <c r="G4" s="96">
        <f t="shared" ca="1" si="5"/>
        <v>0</v>
      </c>
      <c r="H4" s="105">
        <f t="shared" ref="H4:H12" ca="1" si="9">IF(G4=0,1,0)</f>
        <v>1</v>
      </c>
      <c r="I4" s="105">
        <f t="shared" ref="I4:I12" ca="1" si="10">RANK($E4,$E$3:$E$12,0)-1</f>
        <v>0</v>
      </c>
      <c r="J4" s="98">
        <f t="shared" ref="J4:J12" ca="1" si="11">(RANK($F4,$F$3:$F$12,0)/10)-0.1</f>
        <v>0</v>
      </c>
      <c r="K4" s="99">
        <f t="shared" ref="K4:K12" ca="1" si="12">(RANK($C4,$C$3:$C$12,0)/100)-0.01</f>
        <v>0</v>
      </c>
      <c r="L4" s="99">
        <f t="shared" ref="L4:L12" ca="1" si="13">SUM(H4:K4)</f>
        <v>1</v>
      </c>
      <c r="M4" s="96">
        <f ca="1">RANK($L4,$L$3:$L$12,1) + COUNTIF($L$3:$L4,$L4)-1</f>
        <v>2</v>
      </c>
      <c r="O4"/>
      <c r="P4"/>
      <c r="Q4"/>
      <c r="R4"/>
      <c r="S4"/>
      <c r="T4"/>
    </row>
    <row r="5" spans="1:26" hidden="1" outlineLevel="1" x14ac:dyDescent="0.2">
      <c r="A5" s="103">
        <v>3</v>
      </c>
      <c r="B5" s="103" t="str">
        <f t="shared" si="0"/>
        <v>Christiansfelt</v>
      </c>
      <c r="C5" s="96">
        <f t="shared" ca="1" si="6"/>
        <v>0</v>
      </c>
      <c r="D5" s="96">
        <f t="shared" ca="1" si="7"/>
        <v>0</v>
      </c>
      <c r="E5" s="104">
        <f t="shared" ca="1" si="3"/>
        <v>0</v>
      </c>
      <c r="F5" s="96">
        <f t="shared" ca="1" si="8"/>
        <v>0</v>
      </c>
      <c r="G5" s="96">
        <f t="shared" ca="1" si="5"/>
        <v>0</v>
      </c>
      <c r="H5" s="105">
        <f t="shared" ca="1" si="9"/>
        <v>1</v>
      </c>
      <c r="I5" s="105">
        <f t="shared" ca="1" si="10"/>
        <v>0</v>
      </c>
      <c r="J5" s="98">
        <f t="shared" ca="1" si="11"/>
        <v>0</v>
      </c>
      <c r="K5" s="99">
        <f t="shared" ca="1" si="12"/>
        <v>0</v>
      </c>
      <c r="L5" s="99">
        <f t="shared" ca="1" si="13"/>
        <v>1</v>
      </c>
      <c r="M5" s="96">
        <f ca="1">RANK($L5,$L$3:$L$12,1) + COUNTIF($L$3:$L5,$L5)-1</f>
        <v>3</v>
      </c>
      <c r="O5"/>
      <c r="P5"/>
      <c r="R5"/>
      <c r="S5"/>
      <c r="T5"/>
    </row>
    <row r="6" spans="1:26" hidden="1" outlineLevel="1" x14ac:dyDescent="0.2">
      <c r="A6" s="103">
        <v>4</v>
      </c>
      <c r="B6" s="103" t="str">
        <f t="shared" si="0"/>
        <v>Dragør</v>
      </c>
      <c r="C6" s="96">
        <f t="shared" ca="1" si="6"/>
        <v>0</v>
      </c>
      <c r="D6" s="96">
        <f t="shared" ca="1" si="7"/>
        <v>0</v>
      </c>
      <c r="E6" s="104">
        <f t="shared" ca="1" si="3"/>
        <v>0</v>
      </c>
      <c r="F6" s="96">
        <f t="shared" ca="1" si="8"/>
        <v>0</v>
      </c>
      <c r="G6" s="96">
        <f t="shared" ca="1" si="5"/>
        <v>0</v>
      </c>
      <c r="H6" s="105">
        <f t="shared" ca="1" si="9"/>
        <v>1</v>
      </c>
      <c r="I6" s="105">
        <f t="shared" ca="1" si="10"/>
        <v>0</v>
      </c>
      <c r="J6" s="98">
        <f t="shared" ca="1" si="11"/>
        <v>0</v>
      </c>
      <c r="K6" s="99">
        <f t="shared" ca="1" si="12"/>
        <v>0</v>
      </c>
      <c r="L6" s="99">
        <f t="shared" ca="1" si="13"/>
        <v>1</v>
      </c>
      <c r="M6" s="96">
        <f ca="1">RANK($L6,$L$3:$L$12,1) + COUNTIF($L$3:$L6,$L6)-1</f>
        <v>4</v>
      </c>
      <c r="O6"/>
      <c r="P6"/>
      <c r="R6"/>
      <c r="S6"/>
      <c r="T6"/>
    </row>
    <row r="7" spans="1:26" hidden="1" outlineLevel="1" x14ac:dyDescent="0.2">
      <c r="A7" s="103">
        <v>5</v>
      </c>
      <c r="B7" s="103" t="str">
        <f t="shared" si="0"/>
        <v>Ejby</v>
      </c>
      <c r="C7" s="96">
        <f t="shared" ca="1" si="6"/>
        <v>0</v>
      </c>
      <c r="D7" s="96">
        <f t="shared" ca="1" si="7"/>
        <v>0</v>
      </c>
      <c r="E7" s="104">
        <f t="shared" ca="1" si="3"/>
        <v>0</v>
      </c>
      <c r="F7" s="96">
        <f t="shared" ca="1" si="8"/>
        <v>0</v>
      </c>
      <c r="G7" s="96">
        <f t="shared" ca="1" si="5"/>
        <v>0</v>
      </c>
      <c r="H7" s="105">
        <f t="shared" ca="1" si="9"/>
        <v>1</v>
      </c>
      <c r="I7" s="105">
        <f t="shared" ca="1" si="10"/>
        <v>0</v>
      </c>
      <c r="J7" s="98">
        <f t="shared" ca="1" si="11"/>
        <v>0</v>
      </c>
      <c r="K7" s="99">
        <f t="shared" ca="1" si="12"/>
        <v>0</v>
      </c>
      <c r="L7" s="99">
        <f t="shared" ca="1" si="13"/>
        <v>1</v>
      </c>
      <c r="M7" s="96">
        <f ca="1">RANK($L7,$L$3:$L$12,1) + COUNTIF($L$3:$L7,$L7)-1</f>
        <v>5</v>
      </c>
      <c r="O7"/>
      <c r="P7"/>
      <c r="R7"/>
      <c r="S7"/>
      <c r="T7"/>
    </row>
    <row r="8" spans="1:26" hidden="1" outlineLevel="1" x14ac:dyDescent="0.2">
      <c r="A8" s="103">
        <v>6</v>
      </c>
      <c r="B8" s="103" t="str">
        <f t="shared" si="0"/>
        <v>Fjerritslev</v>
      </c>
      <c r="C8" s="96">
        <f t="shared" ca="1" si="6"/>
        <v>0</v>
      </c>
      <c r="D8" s="96">
        <f t="shared" ca="1" si="7"/>
        <v>0</v>
      </c>
      <c r="E8" s="104">
        <f t="shared" ca="1" si="3"/>
        <v>0</v>
      </c>
      <c r="F8" s="96">
        <f t="shared" ca="1" si="8"/>
        <v>0</v>
      </c>
      <c r="G8" s="96">
        <f t="shared" ca="1" si="5"/>
        <v>0</v>
      </c>
      <c r="H8" s="105">
        <f t="shared" ca="1" si="9"/>
        <v>1</v>
      </c>
      <c r="I8" s="105">
        <f t="shared" ca="1" si="10"/>
        <v>0</v>
      </c>
      <c r="J8" s="98">
        <f t="shared" ca="1" si="11"/>
        <v>0</v>
      </c>
      <c r="K8" s="99">
        <f t="shared" ca="1" si="12"/>
        <v>0</v>
      </c>
      <c r="L8" s="99">
        <f t="shared" ca="1" si="13"/>
        <v>1</v>
      </c>
      <c r="M8" s="96">
        <f ca="1">RANK($L8,$L$3:$L$12,1) + COUNTIF($L$3:$L8,$L8)-1</f>
        <v>6</v>
      </c>
      <c r="O8"/>
      <c r="P8"/>
      <c r="R8"/>
      <c r="S8"/>
      <c r="T8"/>
    </row>
    <row r="9" spans="1:26" hidden="1" outlineLevel="1" x14ac:dyDescent="0.2">
      <c r="A9" s="103">
        <v>7</v>
      </c>
      <c r="B9" s="103" t="str">
        <f t="shared" si="0"/>
        <v>Glamsbjerg</v>
      </c>
      <c r="C9" s="96">
        <f t="shared" ca="1" si="6"/>
        <v>0</v>
      </c>
      <c r="D9" s="96">
        <f t="shared" ca="1" si="7"/>
        <v>0</v>
      </c>
      <c r="E9" s="104">
        <f t="shared" ca="1" si="3"/>
        <v>0</v>
      </c>
      <c r="F9" s="96">
        <f t="shared" ca="1" si="8"/>
        <v>0</v>
      </c>
      <c r="G9" s="96">
        <f t="shared" ca="1" si="5"/>
        <v>0</v>
      </c>
      <c r="H9" s="105">
        <f t="shared" ca="1" si="9"/>
        <v>1</v>
      </c>
      <c r="I9" s="105">
        <f t="shared" ca="1" si="10"/>
        <v>0</v>
      </c>
      <c r="J9" s="98">
        <f t="shared" ca="1" si="11"/>
        <v>0</v>
      </c>
      <c r="K9" s="99">
        <f t="shared" ca="1" si="12"/>
        <v>0</v>
      </c>
      <c r="L9" s="99">
        <f t="shared" ca="1" si="13"/>
        <v>1</v>
      </c>
      <c r="M9" s="96">
        <f ca="1">RANK($L9,$L$3:$L$12,1) + COUNTIF($L$3:$L9,$L9)-1</f>
        <v>7</v>
      </c>
      <c r="O9"/>
      <c r="P9"/>
      <c r="R9"/>
      <c r="S9"/>
      <c r="T9"/>
    </row>
    <row r="10" spans="1:26" hidden="1" outlineLevel="1" x14ac:dyDescent="0.2">
      <c r="A10" s="103">
        <v>8</v>
      </c>
      <c r="B10" s="103" t="str">
        <f t="shared" si="0"/>
        <v>Holeby</v>
      </c>
      <c r="C10" s="96">
        <f t="shared" ca="1" si="6"/>
        <v>0</v>
      </c>
      <c r="D10" s="96">
        <f t="shared" ca="1" si="7"/>
        <v>0</v>
      </c>
      <c r="E10" s="104">
        <f t="shared" ca="1" si="3"/>
        <v>0</v>
      </c>
      <c r="F10" s="96">
        <f t="shared" ca="1" si="8"/>
        <v>0</v>
      </c>
      <c r="G10" s="96">
        <f t="shared" ca="1" si="5"/>
        <v>0</v>
      </c>
      <c r="H10" s="105">
        <f t="shared" ca="1" si="9"/>
        <v>1</v>
      </c>
      <c r="I10" s="105">
        <f t="shared" ca="1" si="10"/>
        <v>0</v>
      </c>
      <c r="J10" s="98">
        <f t="shared" ca="1" si="11"/>
        <v>0</v>
      </c>
      <c r="K10" s="99">
        <f t="shared" ca="1" si="12"/>
        <v>0</v>
      </c>
      <c r="L10" s="99">
        <f t="shared" ca="1" si="13"/>
        <v>1</v>
      </c>
      <c r="M10" s="96">
        <f ca="1">RANK($L10,$L$3:$L$12,1) + COUNTIF($L$3:$L10,$L10)-1</f>
        <v>8</v>
      </c>
      <c r="O10"/>
      <c r="P10"/>
      <c r="R10"/>
      <c r="S10"/>
      <c r="T10"/>
    </row>
    <row r="11" spans="1:26" hidden="1" outlineLevel="1" x14ac:dyDescent="0.2">
      <c r="A11" s="103">
        <v>9</v>
      </c>
      <c r="B11" s="103" t="str">
        <f t="shared" si="0"/>
        <v>Indre By</v>
      </c>
      <c r="C11" s="96">
        <f t="shared" ca="1" si="6"/>
        <v>0</v>
      </c>
      <c r="D11" s="96">
        <f t="shared" ca="1" si="7"/>
        <v>0</v>
      </c>
      <c r="E11" s="104">
        <f t="shared" ca="1" si="3"/>
        <v>0</v>
      </c>
      <c r="F11" s="96">
        <f t="shared" ca="1" si="8"/>
        <v>0</v>
      </c>
      <c r="G11" s="96">
        <f t="shared" ca="1" si="5"/>
        <v>0</v>
      </c>
      <c r="H11" s="105">
        <f t="shared" ca="1" si="9"/>
        <v>1</v>
      </c>
      <c r="I11" s="105">
        <f t="shared" ca="1" si="10"/>
        <v>0</v>
      </c>
      <c r="J11" s="98">
        <f t="shared" ca="1" si="11"/>
        <v>0</v>
      </c>
      <c r="K11" s="99">
        <f t="shared" ca="1" si="12"/>
        <v>0</v>
      </c>
      <c r="L11" s="99">
        <f t="shared" ca="1" si="13"/>
        <v>1</v>
      </c>
      <c r="M11" s="96">
        <f ca="1">RANK($L11,$L$3:$L$12,1) + COUNTIF($L$3:$L11,$L11)-1</f>
        <v>9</v>
      </c>
      <c r="O11"/>
      <c r="P11"/>
      <c r="Q11"/>
      <c r="R11"/>
      <c r="S11"/>
      <c r="T11"/>
    </row>
    <row r="12" spans="1:26" hidden="1" outlineLevel="1" x14ac:dyDescent="0.2">
      <c r="A12" s="103">
        <v>10</v>
      </c>
      <c r="B12" s="103" t="str">
        <f t="shared" si="0"/>
        <v>Jullerup</v>
      </c>
      <c r="C12" s="96">
        <f t="shared" ca="1" si="6"/>
        <v>0</v>
      </c>
      <c r="D12" s="96">
        <f t="shared" ca="1" si="7"/>
        <v>0</v>
      </c>
      <c r="E12" s="104">
        <f t="shared" ca="1" si="3"/>
        <v>0</v>
      </c>
      <c r="F12" s="96">
        <f t="shared" ca="1" si="8"/>
        <v>0</v>
      </c>
      <c r="G12" s="96">
        <f t="shared" ca="1" si="5"/>
        <v>0</v>
      </c>
      <c r="H12" s="105">
        <f t="shared" ca="1" si="9"/>
        <v>1</v>
      </c>
      <c r="I12" s="105">
        <f t="shared" ca="1" si="10"/>
        <v>0</v>
      </c>
      <c r="J12" s="98">
        <f t="shared" ca="1" si="11"/>
        <v>0</v>
      </c>
      <c r="K12" s="99">
        <f t="shared" ca="1" si="12"/>
        <v>0</v>
      </c>
      <c r="L12" s="99">
        <f t="shared" ca="1" si="13"/>
        <v>1</v>
      </c>
      <c r="M12" s="96">
        <f ca="1">RANK($L12,$L$3:$L$12,1) + COUNTIF($L$3:$L12,$L12)-1</f>
        <v>10</v>
      </c>
      <c r="O12"/>
      <c r="P12"/>
      <c r="R12"/>
      <c r="S12"/>
      <c r="T12"/>
    </row>
    <row r="13" spans="1:26" ht="13.2" collapsed="1" thickBot="1" x14ac:dyDescent="0.25">
      <c r="O13"/>
      <c r="P13"/>
      <c r="Q13"/>
      <c r="R13"/>
      <c r="S13"/>
      <c r="T13"/>
    </row>
    <row r="14" spans="1:26" s="4" customFormat="1" ht="24" thickBot="1" x14ac:dyDescent="0.5">
      <c r="A14" s="42" t="s">
        <v>168</v>
      </c>
      <c r="B14" s="74">
        <v>10</v>
      </c>
      <c r="C14" s="72"/>
      <c r="D14" s="73" t="s">
        <v>65</v>
      </c>
      <c r="E14" s="74">
        <f>(B14/2)*(B14-1)</f>
        <v>45</v>
      </c>
      <c r="F14"/>
      <c r="G14"/>
      <c r="H14"/>
      <c r="I14"/>
      <c r="J14"/>
      <c r="K14"/>
      <c r="Q14" s="75" t="str">
        <f>TurneringsNavn</f>
        <v>Forårsstævne</v>
      </c>
      <c r="R14" s="5"/>
      <c r="S14" s="5"/>
      <c r="T14" s="5"/>
      <c r="U14" s="5"/>
      <c r="V14" s="5"/>
      <c r="W14" s="5"/>
      <c r="X14" s="5"/>
      <c r="Y14" s="5"/>
      <c r="Z14" s="5"/>
    </row>
    <row r="15" spans="1:26" ht="8.4" customHeight="1" x14ac:dyDescent="0.2">
      <c r="O15"/>
      <c r="P15"/>
      <c r="Q15"/>
      <c r="R15"/>
      <c r="S15"/>
      <c r="T15"/>
    </row>
    <row r="16" spans="1:26" ht="13.8" x14ac:dyDescent="0.25">
      <c r="A16" s="35" t="s">
        <v>200</v>
      </c>
      <c r="B16" s="35" t="s">
        <v>66</v>
      </c>
      <c r="C16" s="35" t="s">
        <v>67</v>
      </c>
      <c r="D16" s="35" t="s">
        <v>68</v>
      </c>
      <c r="E16" s="35" t="s">
        <v>69</v>
      </c>
      <c r="F16" s="35" t="s">
        <v>70</v>
      </c>
      <c r="G16" s="35" t="s">
        <v>71</v>
      </c>
      <c r="H16" s="35" t="s">
        <v>72</v>
      </c>
      <c r="I16" s="35" t="s">
        <v>73</v>
      </c>
      <c r="J16" s="35" t="s">
        <v>74</v>
      </c>
      <c r="K16" s="35" t="s">
        <v>75</v>
      </c>
      <c r="L16" s="7" t="s">
        <v>2</v>
      </c>
      <c r="M16" s="6" t="s">
        <v>3</v>
      </c>
      <c r="N16" s="6" t="s">
        <v>4</v>
      </c>
      <c r="O16" s="6" t="s">
        <v>167</v>
      </c>
      <c r="P16" s="6"/>
      <c r="Q16" s="128" t="s">
        <v>198</v>
      </c>
      <c r="R16" s="129" t="s">
        <v>176</v>
      </c>
      <c r="S16" s="129"/>
      <c r="T16" s="130" t="s">
        <v>5</v>
      </c>
      <c r="U16" s="128" t="s">
        <v>6</v>
      </c>
      <c r="V16" s="128" t="s">
        <v>7</v>
      </c>
      <c r="W16" s="128" t="s">
        <v>8</v>
      </c>
      <c r="X16" s="128" t="s">
        <v>9</v>
      </c>
      <c r="Y16" s="128" t="s">
        <v>10</v>
      </c>
      <c r="Z16" s="131" t="s">
        <v>177</v>
      </c>
    </row>
    <row r="17" spans="1:26" ht="18" customHeight="1" x14ac:dyDescent="0.35">
      <c r="A17" s="35" t="s">
        <v>66</v>
      </c>
      <c r="B17" s="36"/>
      <c r="C17" s="9">
        <v>41</v>
      </c>
      <c r="D17" s="9"/>
      <c r="E17" s="9">
        <v>31</v>
      </c>
      <c r="F17" s="9"/>
      <c r="G17" s="9">
        <v>21</v>
      </c>
      <c r="H17" s="9"/>
      <c r="I17" s="9">
        <v>11</v>
      </c>
      <c r="J17" s="9"/>
      <c r="K17" s="9">
        <v>1</v>
      </c>
      <c r="L17" s="10" t="str">
        <f t="shared" ref="L17:L26" si="14">IFERROR(CHOOSE((B3=H$77)*1+(B3=I$77)*2+(B3=H$75)*3,"Guld","Sølv","Bronze"),"")</f>
        <v/>
      </c>
      <c r="M17" s="11">
        <f t="shared" ref="M17:M26" ca="1" si="15">COUNTIF(team1,$B3)</f>
        <v>5</v>
      </c>
      <c r="N17" s="11">
        <f t="shared" ref="N17:N26" ca="1" si="16">COUNTIF(team2,$B3)</f>
        <v>4</v>
      </c>
      <c r="O17" s="11">
        <f ca="1">SUM(M17:N17)</f>
        <v>9</v>
      </c>
      <c r="P17" s="11"/>
      <c r="Q17" s="119">
        <v>1</v>
      </c>
      <c r="R17" s="120" t="str">
        <f ca="1" xml:space="preserve">  INDEX(teams,MATCH(teamNum,actRank,0))</f>
        <v>Assens</v>
      </c>
      <c r="S17" s="120"/>
      <c r="T17" s="127">
        <f t="shared" ref="T17:T26" ca="1" si="17">COUNTIFS(team1,teamName,points1,"&gt;=0")+COUNTIFS(team2,teamName,points2,"&gt;=0")</f>
        <v>0</v>
      </c>
      <c r="U17" s="143">
        <f t="shared" ref="U17:U26" ca="1" si="18">COUNTIFS(team1,teamName,points1,ptv)+COUNTIFS(team2,teamName,points2,ptv)</f>
        <v>0</v>
      </c>
      <c r="V17" s="121">
        <f t="shared" ref="V17:V26" ca="1" si="19">COUNTIFS(team1,teamName,points1,ptu)+COUNTIFS(team2,teamName,points2,ptu)</f>
        <v>0</v>
      </c>
      <c r="W17" s="121">
        <f t="shared" ref="W17:W26" ca="1" si="20">COUNTIFS(team1,teamName,points1,ptt)+COUNTIFS(team2,teamName,points2,ptt)</f>
        <v>0</v>
      </c>
      <c r="X17" s="143">
        <f t="shared" ref="X17:X26" ca="1" si="21">SUMIF(team1,teamName,goals1)+SUMIF(team2,teamName,goals2)</f>
        <v>0</v>
      </c>
      <c r="Y17" s="121">
        <f t="shared" ref="Y17:Y26" ca="1" si="22">SUMIF(team1,teamName,goals2)+SUMIF(team2,teamName,goals1)</f>
        <v>0</v>
      </c>
      <c r="Z17" s="144">
        <f t="shared" ref="Z17:Z26" ca="1" si="23">SUMIFS(points1,team1,teamName)+SUMIFS(points2,team2,teamName)</f>
        <v>0</v>
      </c>
    </row>
    <row r="18" spans="1:26" ht="17.399999999999999" x14ac:dyDescent="0.35">
      <c r="A18" s="35" t="s">
        <v>67</v>
      </c>
      <c r="B18" s="9"/>
      <c r="C18" s="36"/>
      <c r="D18" s="9">
        <v>20</v>
      </c>
      <c r="E18" s="9"/>
      <c r="F18" s="9">
        <v>14</v>
      </c>
      <c r="G18" s="9"/>
      <c r="H18" s="9">
        <v>8</v>
      </c>
      <c r="I18" s="9"/>
      <c r="J18" s="9">
        <v>2</v>
      </c>
      <c r="K18" s="9"/>
      <c r="L18" s="10" t="str">
        <f t="shared" si="14"/>
        <v/>
      </c>
      <c r="M18" s="11">
        <f t="shared" ca="1" si="15"/>
        <v>4</v>
      </c>
      <c r="N18" s="11">
        <f t="shared" ca="1" si="16"/>
        <v>5</v>
      </c>
      <c r="O18" s="11">
        <f t="shared" ref="O18:O26" ca="1" si="24">SUM(M18:N18)</f>
        <v>9</v>
      </c>
      <c r="P18" s="11"/>
      <c r="Q18" s="119">
        <v>2</v>
      </c>
      <c r="R18" s="120" t="str">
        <f t="shared" ref="R18:R26" ca="1" si="25" xml:space="preserve">  INDEX(teams,MATCH(teamNum,actRank,0))</f>
        <v>Bogense</v>
      </c>
      <c r="S18" s="120"/>
      <c r="T18" s="127">
        <f t="shared" ca="1" si="17"/>
        <v>0</v>
      </c>
      <c r="U18" s="143">
        <f t="shared" ca="1" si="18"/>
        <v>0</v>
      </c>
      <c r="V18" s="121">
        <f t="shared" ca="1" si="19"/>
        <v>0</v>
      </c>
      <c r="W18" s="121">
        <f t="shared" ca="1" si="20"/>
        <v>0</v>
      </c>
      <c r="X18" s="143">
        <f t="shared" ca="1" si="21"/>
        <v>0</v>
      </c>
      <c r="Y18" s="121">
        <f t="shared" ca="1" si="22"/>
        <v>0</v>
      </c>
      <c r="Z18" s="144">
        <f t="shared" ca="1" si="23"/>
        <v>0</v>
      </c>
    </row>
    <row r="19" spans="1:26" ht="17.399999999999999" x14ac:dyDescent="0.35">
      <c r="A19" s="35" t="s">
        <v>68</v>
      </c>
      <c r="B19" s="9">
        <v>36</v>
      </c>
      <c r="C19" s="9"/>
      <c r="D19" s="36"/>
      <c r="E19" s="9">
        <v>15</v>
      </c>
      <c r="F19" s="9"/>
      <c r="G19" s="9">
        <v>9</v>
      </c>
      <c r="H19" s="9"/>
      <c r="I19" s="9">
        <v>3</v>
      </c>
      <c r="J19" s="9"/>
      <c r="K19" s="9">
        <v>42</v>
      </c>
      <c r="L19" s="10" t="str">
        <f t="shared" si="14"/>
        <v/>
      </c>
      <c r="M19" s="11">
        <f t="shared" ca="1" si="15"/>
        <v>5</v>
      </c>
      <c r="N19" s="11">
        <f t="shared" ca="1" si="16"/>
        <v>4</v>
      </c>
      <c r="O19" s="11">
        <f t="shared" ca="1" si="24"/>
        <v>9</v>
      </c>
      <c r="P19" s="11"/>
      <c r="Q19" s="119">
        <v>3</v>
      </c>
      <c r="R19" s="120" t="str">
        <f t="shared" ca="1" si="25"/>
        <v>Christiansfelt</v>
      </c>
      <c r="S19" s="120"/>
      <c r="T19" s="127">
        <f t="shared" ca="1" si="17"/>
        <v>0</v>
      </c>
      <c r="U19" s="143">
        <f t="shared" ca="1" si="18"/>
        <v>0</v>
      </c>
      <c r="V19" s="121">
        <f t="shared" ca="1" si="19"/>
        <v>0</v>
      </c>
      <c r="W19" s="121">
        <f t="shared" ca="1" si="20"/>
        <v>0</v>
      </c>
      <c r="X19" s="143">
        <f t="shared" ca="1" si="21"/>
        <v>0</v>
      </c>
      <c r="Y19" s="121">
        <f t="shared" ca="1" si="22"/>
        <v>0</v>
      </c>
      <c r="Z19" s="144">
        <f t="shared" ca="1" si="23"/>
        <v>0</v>
      </c>
    </row>
    <row r="20" spans="1:26" ht="17.399999999999999" x14ac:dyDescent="0.35">
      <c r="A20" s="35" t="s">
        <v>69</v>
      </c>
      <c r="B20" s="9"/>
      <c r="C20" s="9">
        <v>37</v>
      </c>
      <c r="D20" s="9"/>
      <c r="E20" s="36"/>
      <c r="F20" s="9">
        <v>10</v>
      </c>
      <c r="G20" s="9"/>
      <c r="H20" s="9">
        <v>4</v>
      </c>
      <c r="I20" s="9"/>
      <c r="J20" s="9">
        <v>43</v>
      </c>
      <c r="K20" s="9"/>
      <c r="L20" s="10" t="str">
        <f t="shared" si="14"/>
        <v/>
      </c>
      <c r="M20" s="11">
        <f t="shared" ca="1" si="15"/>
        <v>4</v>
      </c>
      <c r="N20" s="11">
        <f t="shared" ca="1" si="16"/>
        <v>5</v>
      </c>
      <c r="O20" s="11">
        <f t="shared" ca="1" si="24"/>
        <v>9</v>
      </c>
      <c r="P20" s="11"/>
      <c r="Q20" s="119">
        <v>4</v>
      </c>
      <c r="R20" s="120" t="str">
        <f t="shared" ca="1" si="25"/>
        <v>Dragør</v>
      </c>
      <c r="S20" s="120"/>
      <c r="T20" s="127">
        <f t="shared" ca="1" si="17"/>
        <v>0</v>
      </c>
      <c r="U20" s="143">
        <f t="shared" ca="1" si="18"/>
        <v>0</v>
      </c>
      <c r="V20" s="121">
        <f t="shared" ca="1" si="19"/>
        <v>0</v>
      </c>
      <c r="W20" s="121">
        <f t="shared" ca="1" si="20"/>
        <v>0</v>
      </c>
      <c r="X20" s="143">
        <f t="shared" ca="1" si="21"/>
        <v>0</v>
      </c>
      <c r="Y20" s="121">
        <f t="shared" ca="1" si="22"/>
        <v>0</v>
      </c>
      <c r="Z20" s="144">
        <f t="shared" ca="1" si="23"/>
        <v>0</v>
      </c>
    </row>
    <row r="21" spans="1:26" ht="17.399999999999999" x14ac:dyDescent="0.35">
      <c r="A21" s="35" t="s">
        <v>70</v>
      </c>
      <c r="B21" s="9">
        <v>26</v>
      </c>
      <c r="C21" s="9"/>
      <c r="D21" s="9">
        <v>32</v>
      </c>
      <c r="E21" s="9"/>
      <c r="F21" s="36"/>
      <c r="G21" s="9">
        <v>5</v>
      </c>
      <c r="H21" s="9"/>
      <c r="I21" s="9">
        <v>44</v>
      </c>
      <c r="J21" s="9"/>
      <c r="K21" s="9">
        <v>38</v>
      </c>
      <c r="L21" s="10" t="str">
        <f t="shared" si="14"/>
        <v/>
      </c>
      <c r="M21" s="11">
        <f t="shared" ca="1" si="15"/>
        <v>5</v>
      </c>
      <c r="N21" s="11">
        <f t="shared" ca="1" si="16"/>
        <v>4</v>
      </c>
      <c r="O21" s="11">
        <f t="shared" ca="1" si="24"/>
        <v>9</v>
      </c>
      <c r="P21" s="11"/>
      <c r="Q21" s="119">
        <v>5</v>
      </c>
      <c r="R21" s="120" t="str">
        <f t="shared" ca="1" si="25"/>
        <v>Ejby</v>
      </c>
      <c r="S21" s="120"/>
      <c r="T21" s="127">
        <f t="shared" ca="1" si="17"/>
        <v>0</v>
      </c>
      <c r="U21" s="143">
        <f t="shared" ca="1" si="18"/>
        <v>0</v>
      </c>
      <c r="V21" s="121">
        <f t="shared" ca="1" si="19"/>
        <v>0</v>
      </c>
      <c r="W21" s="121">
        <f t="shared" ca="1" si="20"/>
        <v>0</v>
      </c>
      <c r="X21" s="143">
        <f t="shared" ca="1" si="21"/>
        <v>0</v>
      </c>
      <c r="Y21" s="121">
        <f t="shared" ca="1" si="22"/>
        <v>0</v>
      </c>
      <c r="Z21" s="144">
        <f t="shared" ca="1" si="23"/>
        <v>0</v>
      </c>
    </row>
    <row r="22" spans="1:26" ht="17.399999999999999" x14ac:dyDescent="0.35">
      <c r="A22" s="35" t="s">
        <v>71</v>
      </c>
      <c r="B22" s="9"/>
      <c r="C22" s="9">
        <v>33</v>
      </c>
      <c r="D22" s="9"/>
      <c r="E22" s="9">
        <v>27</v>
      </c>
      <c r="F22" s="9"/>
      <c r="G22" s="36"/>
      <c r="H22" s="9">
        <v>45</v>
      </c>
      <c r="I22" s="9"/>
      <c r="J22" s="9">
        <v>39</v>
      </c>
      <c r="K22" s="9"/>
      <c r="L22" s="10" t="str">
        <f t="shared" si="14"/>
        <v/>
      </c>
      <c r="M22" s="11">
        <f t="shared" ca="1" si="15"/>
        <v>4</v>
      </c>
      <c r="N22" s="11">
        <f t="shared" ca="1" si="16"/>
        <v>5</v>
      </c>
      <c r="O22" s="11">
        <f t="shared" ca="1" si="24"/>
        <v>9</v>
      </c>
      <c r="P22" s="11"/>
      <c r="Q22" s="119">
        <v>6</v>
      </c>
      <c r="R22" s="120" t="str">
        <f t="shared" ca="1" si="25"/>
        <v>Fjerritslev</v>
      </c>
      <c r="S22" s="120"/>
      <c r="T22" s="127">
        <f t="shared" ca="1" si="17"/>
        <v>0</v>
      </c>
      <c r="U22" s="143">
        <f t="shared" ca="1" si="18"/>
        <v>0</v>
      </c>
      <c r="V22" s="121">
        <f t="shared" ca="1" si="19"/>
        <v>0</v>
      </c>
      <c r="W22" s="121">
        <f t="shared" ca="1" si="20"/>
        <v>0</v>
      </c>
      <c r="X22" s="143">
        <f t="shared" ca="1" si="21"/>
        <v>0</v>
      </c>
      <c r="Y22" s="121">
        <f t="shared" ca="1" si="22"/>
        <v>0</v>
      </c>
      <c r="Z22" s="144">
        <f t="shared" ca="1" si="23"/>
        <v>0</v>
      </c>
    </row>
    <row r="23" spans="1:26" ht="17.399999999999999" x14ac:dyDescent="0.35">
      <c r="A23" s="35" t="s">
        <v>72</v>
      </c>
      <c r="B23" s="9">
        <v>16</v>
      </c>
      <c r="C23" s="9"/>
      <c r="D23" s="9">
        <v>28</v>
      </c>
      <c r="E23" s="9"/>
      <c r="F23" s="9">
        <v>22</v>
      </c>
      <c r="G23" s="9"/>
      <c r="H23" s="36"/>
      <c r="I23" s="9">
        <v>40</v>
      </c>
      <c r="J23" s="9"/>
      <c r="K23" s="9">
        <v>34</v>
      </c>
      <c r="L23" s="10" t="str">
        <f t="shared" si="14"/>
        <v/>
      </c>
      <c r="M23" s="11">
        <f t="shared" ca="1" si="15"/>
        <v>5</v>
      </c>
      <c r="N23" s="11">
        <f t="shared" ca="1" si="16"/>
        <v>4</v>
      </c>
      <c r="O23" s="11">
        <f t="shared" ca="1" si="24"/>
        <v>9</v>
      </c>
      <c r="P23" s="11"/>
      <c r="Q23" s="119">
        <v>7</v>
      </c>
      <c r="R23" s="120" t="str">
        <f t="shared" ca="1" si="25"/>
        <v>Glamsbjerg</v>
      </c>
      <c r="S23" s="120"/>
      <c r="T23" s="127">
        <f t="shared" ca="1" si="17"/>
        <v>0</v>
      </c>
      <c r="U23" s="143">
        <f t="shared" ca="1" si="18"/>
        <v>0</v>
      </c>
      <c r="V23" s="121">
        <f t="shared" ca="1" si="19"/>
        <v>0</v>
      </c>
      <c r="W23" s="121">
        <f t="shared" ca="1" si="20"/>
        <v>0</v>
      </c>
      <c r="X23" s="143">
        <f t="shared" ca="1" si="21"/>
        <v>0</v>
      </c>
      <c r="Y23" s="121">
        <f t="shared" ca="1" si="22"/>
        <v>0</v>
      </c>
      <c r="Z23" s="144">
        <f t="shared" ca="1" si="23"/>
        <v>0</v>
      </c>
    </row>
    <row r="24" spans="1:26" ht="17.399999999999999" x14ac:dyDescent="0.35">
      <c r="A24" s="35" t="s">
        <v>73</v>
      </c>
      <c r="B24" s="9"/>
      <c r="C24" s="9">
        <v>29</v>
      </c>
      <c r="D24" s="9"/>
      <c r="E24" s="9">
        <v>23</v>
      </c>
      <c r="F24" s="9"/>
      <c r="G24" s="9">
        <v>17</v>
      </c>
      <c r="H24" s="9"/>
      <c r="I24" s="36"/>
      <c r="J24" s="9">
        <v>35</v>
      </c>
      <c r="K24" s="9"/>
      <c r="L24" s="10" t="str">
        <f t="shared" si="14"/>
        <v/>
      </c>
      <c r="M24" s="11">
        <f t="shared" ca="1" si="15"/>
        <v>4</v>
      </c>
      <c r="N24" s="11">
        <f t="shared" ca="1" si="16"/>
        <v>5</v>
      </c>
      <c r="O24" s="11">
        <f t="shared" ca="1" si="24"/>
        <v>9</v>
      </c>
      <c r="P24" s="11"/>
      <c r="Q24" s="119">
        <v>8</v>
      </c>
      <c r="R24" s="120" t="str">
        <f t="shared" ca="1" si="25"/>
        <v>Holeby</v>
      </c>
      <c r="S24" s="120"/>
      <c r="T24" s="127">
        <f t="shared" ca="1" si="17"/>
        <v>0</v>
      </c>
      <c r="U24" s="143">
        <f t="shared" ca="1" si="18"/>
        <v>0</v>
      </c>
      <c r="V24" s="121">
        <f t="shared" ca="1" si="19"/>
        <v>0</v>
      </c>
      <c r="W24" s="121">
        <f t="shared" ca="1" si="20"/>
        <v>0</v>
      </c>
      <c r="X24" s="143">
        <f t="shared" ca="1" si="21"/>
        <v>0</v>
      </c>
      <c r="Y24" s="121">
        <f t="shared" ca="1" si="22"/>
        <v>0</v>
      </c>
      <c r="Z24" s="144">
        <f t="shared" ca="1" si="23"/>
        <v>0</v>
      </c>
    </row>
    <row r="25" spans="1:26" ht="17.399999999999999" x14ac:dyDescent="0.35">
      <c r="A25" s="35" t="s">
        <v>74</v>
      </c>
      <c r="B25" s="9">
        <v>6</v>
      </c>
      <c r="C25" s="9"/>
      <c r="D25" s="9">
        <v>24</v>
      </c>
      <c r="E25" s="9"/>
      <c r="F25" s="9">
        <v>18</v>
      </c>
      <c r="G25" s="9"/>
      <c r="H25" s="9">
        <v>12</v>
      </c>
      <c r="I25" s="9"/>
      <c r="J25" s="36"/>
      <c r="K25" s="9">
        <v>30</v>
      </c>
      <c r="L25" s="10" t="str">
        <f t="shared" si="14"/>
        <v/>
      </c>
      <c r="M25" s="11">
        <f t="shared" ca="1" si="15"/>
        <v>5</v>
      </c>
      <c r="N25" s="11">
        <f t="shared" ca="1" si="16"/>
        <v>4</v>
      </c>
      <c r="O25" s="11">
        <f t="shared" ca="1" si="24"/>
        <v>9</v>
      </c>
      <c r="P25" s="11"/>
      <c r="Q25" s="119">
        <v>9</v>
      </c>
      <c r="R25" s="120" t="str">
        <f t="shared" ca="1" si="25"/>
        <v>Indre By</v>
      </c>
      <c r="S25" s="120"/>
      <c r="T25" s="127">
        <f t="shared" ca="1" si="17"/>
        <v>0</v>
      </c>
      <c r="U25" s="143">
        <f t="shared" ca="1" si="18"/>
        <v>0</v>
      </c>
      <c r="V25" s="121">
        <f t="shared" ca="1" si="19"/>
        <v>0</v>
      </c>
      <c r="W25" s="121">
        <f t="shared" ca="1" si="20"/>
        <v>0</v>
      </c>
      <c r="X25" s="143">
        <f t="shared" ca="1" si="21"/>
        <v>0</v>
      </c>
      <c r="Y25" s="121">
        <f t="shared" ca="1" si="22"/>
        <v>0</v>
      </c>
      <c r="Z25" s="144">
        <f t="shared" ca="1" si="23"/>
        <v>0</v>
      </c>
    </row>
    <row r="26" spans="1:26" ht="17.399999999999999" x14ac:dyDescent="0.35">
      <c r="A26" s="35" t="s">
        <v>75</v>
      </c>
      <c r="B26" s="9"/>
      <c r="C26" s="9">
        <v>25</v>
      </c>
      <c r="D26" s="9"/>
      <c r="E26" s="9">
        <v>19</v>
      </c>
      <c r="F26" s="9"/>
      <c r="G26" s="9">
        <v>13</v>
      </c>
      <c r="H26" s="9"/>
      <c r="I26" s="9">
        <v>7</v>
      </c>
      <c r="J26" s="9"/>
      <c r="K26" s="36"/>
      <c r="L26" s="10" t="str">
        <f t="shared" si="14"/>
        <v/>
      </c>
      <c r="M26" s="11">
        <f t="shared" ca="1" si="15"/>
        <v>4</v>
      </c>
      <c r="N26" s="11">
        <f t="shared" ca="1" si="16"/>
        <v>5</v>
      </c>
      <c r="O26" s="11">
        <f t="shared" ca="1" si="24"/>
        <v>9</v>
      </c>
      <c r="P26" s="11"/>
      <c r="Q26" s="119">
        <v>10</v>
      </c>
      <c r="R26" s="120" t="str">
        <f t="shared" ca="1" si="25"/>
        <v>Jullerup</v>
      </c>
      <c r="S26" s="120"/>
      <c r="T26" s="127">
        <f t="shared" ca="1" si="17"/>
        <v>0</v>
      </c>
      <c r="U26" s="143">
        <f t="shared" ca="1" si="18"/>
        <v>0</v>
      </c>
      <c r="V26" s="121">
        <f t="shared" ca="1" si="19"/>
        <v>0</v>
      </c>
      <c r="W26" s="121">
        <f t="shared" ca="1" si="20"/>
        <v>0</v>
      </c>
      <c r="X26" s="143">
        <f t="shared" ca="1" si="21"/>
        <v>0</v>
      </c>
      <c r="Y26" s="121">
        <f t="shared" ca="1" si="22"/>
        <v>0</v>
      </c>
      <c r="Z26" s="144">
        <f t="shared" ca="1" si="23"/>
        <v>0</v>
      </c>
    </row>
    <row r="27" spans="1:26" ht="12" customHeight="1" x14ac:dyDescent="0.2">
      <c r="A27" s="6"/>
      <c r="B27" s="37"/>
      <c r="C27" s="37"/>
      <c r="D27" s="37"/>
      <c r="E27" s="37"/>
      <c r="F27" s="37"/>
      <c r="G27" s="37"/>
      <c r="H27" s="37"/>
      <c r="I27" s="37"/>
      <c r="J27" s="37"/>
      <c r="K27" s="37"/>
      <c r="L27" s="37"/>
      <c r="M27" s="11"/>
      <c r="N27" s="11"/>
      <c r="O27" s="11"/>
      <c r="P27" s="11"/>
      <c r="Q27"/>
      <c r="R27"/>
      <c r="S27"/>
      <c r="T27"/>
    </row>
    <row r="28" spans="1:26" s="12" customFormat="1" ht="15" thickBot="1" x14ac:dyDescent="0.35">
      <c r="B28"/>
      <c r="C28" s="44" t="s">
        <v>17</v>
      </c>
      <c r="D28" s="45" t="s">
        <v>18</v>
      </c>
      <c r="E28" s="46" t="s">
        <v>19</v>
      </c>
      <c r="F28" s="47" t="s">
        <v>20</v>
      </c>
      <c r="G28" s="47" t="s">
        <v>21</v>
      </c>
      <c r="H28" s="47" t="s">
        <v>22</v>
      </c>
      <c r="I28" s="47" t="s">
        <v>23</v>
      </c>
      <c r="J28" s="48" t="s">
        <v>24</v>
      </c>
      <c r="K28" s="12" t="s">
        <v>25</v>
      </c>
      <c r="M28"/>
      <c r="N28"/>
      <c r="Q28" s="140" t="s">
        <v>5</v>
      </c>
      <c r="R28" s="139" t="s">
        <v>26</v>
      </c>
      <c r="S28" s="139" t="s">
        <v>27</v>
      </c>
      <c r="T28" s="158" t="s">
        <v>25</v>
      </c>
      <c r="U28" s="158" t="s">
        <v>196</v>
      </c>
      <c r="V28" s="158" t="s">
        <v>195</v>
      </c>
      <c r="W28" s="159" t="s">
        <v>193</v>
      </c>
      <c r="X28" s="159" t="s">
        <v>194</v>
      </c>
      <c r="Y28" s="138" t="s">
        <v>32</v>
      </c>
      <c r="Z28" s="138" t="s">
        <v>32</v>
      </c>
    </row>
    <row r="29" spans="1:26" ht="17.399999999999999" x14ac:dyDescent="0.35">
      <c r="C29" s="50" t="s">
        <v>76</v>
      </c>
      <c r="D29" s="51"/>
      <c r="E29" s="50">
        <v>1</v>
      </c>
      <c r="F29" s="52">
        <f>SUMPRODUCT(
   ( HxA=$E29 ) * ( COLUMN(HxA) )
)  -  COLUMN(HxA)+1</f>
        <v>11</v>
      </c>
      <c r="G29" s="52">
        <f>SUMPRODUCT((HxA=$E29)*(ROW(HxA)))-ROW(HxA)+1</f>
        <v>2</v>
      </c>
      <c r="H29" s="53" t="str">
        <f t="shared" ref="H29:H60" si="26">INDEX(HxA,G29,1)</f>
        <v>T_01</v>
      </c>
      <c r="I29" s="53" t="str">
        <f t="shared" ref="I29:I60" si="27">INDEX(HxA,1,F29)</f>
        <v>T_10</v>
      </c>
      <c r="J29" s="54">
        <v>1</v>
      </c>
      <c r="K29" s="55">
        <v>43832</v>
      </c>
      <c r="M29" s="12"/>
      <c r="N29" s="12"/>
      <c r="O29"/>
      <c r="P29"/>
      <c r="Q29" s="122">
        <v>1</v>
      </c>
      <c r="R29" s="122" t="str">
        <f ca="1">INDIRECT(H29)</f>
        <v>Assens</v>
      </c>
      <c r="S29" s="122" t="str">
        <f t="shared" ref="S29:S73" ca="1" si="28">INDIRECT(I29)</f>
        <v>Jullerup</v>
      </c>
      <c r="T29" s="141"/>
      <c r="U29" s="142" t="s">
        <v>33</v>
      </c>
      <c r="V29" s="152"/>
      <c r="W29" s="153"/>
      <c r="X29" s="154"/>
      <c r="Y29" s="121" t="str">
        <f t="shared" ref="Y29:Y73" si="29">IF(ISNUMBER(W29)*ISNUMBER(X29),IF(W29&gt;X29,ptv, IF(W29=X29,ptu,ptt)),"-")</f>
        <v>-</v>
      </c>
      <c r="Z29" s="121" t="str">
        <f t="shared" ref="Z29:Z73" si="30">IF(ISNUMBER(W29)*ISNUMBER(X29),IF(Y29=ptv,ptt,IF(Y29=ptu,ptu,ptv)),"-")</f>
        <v>-</v>
      </c>
    </row>
    <row r="30" spans="1:26" ht="17.399999999999999" x14ac:dyDescent="0.35">
      <c r="C30" s="56" t="s">
        <v>77</v>
      </c>
      <c r="D30" s="57">
        <f t="shared" ref="D30:D73" si="31">OR(H30=H29,H30=I29,I30=H29,I30=I29)*1</f>
        <v>0</v>
      </c>
      <c r="E30" s="56">
        <v>2</v>
      </c>
      <c r="F30" s="58">
        <f t="shared" ref="F30:F73" si="32">SUMPRODUCT((HxA=$E30)*(COLUMN(HxA)))-COLUMN(HxA)+1</f>
        <v>10</v>
      </c>
      <c r="G30" s="58">
        <f t="shared" ref="G30:G73" si="33">SUMPRODUCT((HxA=$E30)*(ROW(HxA)))-ROW(HxA)+1</f>
        <v>3</v>
      </c>
      <c r="H30" s="59" t="str">
        <f t="shared" si="26"/>
        <v>T_02</v>
      </c>
      <c r="I30" s="59" t="str">
        <f t="shared" si="27"/>
        <v>T_09</v>
      </c>
      <c r="J30" s="59">
        <f>J29</f>
        <v>1</v>
      </c>
      <c r="K30" s="60">
        <f t="shared" ref="K30:K73" si="34">$K$29+J30</f>
        <v>43833</v>
      </c>
      <c r="O30"/>
      <c r="P30"/>
      <c r="Q30" s="122">
        <v>2</v>
      </c>
      <c r="R30" s="122" t="str">
        <f t="shared" ref="R30:R73" ca="1" si="35">INDIRECT(H30)</f>
        <v>Bogense</v>
      </c>
      <c r="S30" s="122" t="str">
        <f t="shared" ca="1" si="28"/>
        <v>Indre By</v>
      </c>
      <c r="T30" s="134"/>
      <c r="U30" s="123" t="str">
        <f>IFERROR(U29+mMin,"-")</f>
        <v>-</v>
      </c>
      <c r="V30" s="146"/>
      <c r="W30" s="147"/>
      <c r="X30" s="148"/>
      <c r="Y30" s="121" t="str">
        <f t="shared" si="29"/>
        <v>-</v>
      </c>
      <c r="Z30" s="121" t="str">
        <f t="shared" si="30"/>
        <v>-</v>
      </c>
    </row>
    <row r="31" spans="1:26" ht="17.399999999999999" x14ac:dyDescent="0.35">
      <c r="C31" s="56" t="s">
        <v>78</v>
      </c>
      <c r="D31" s="57">
        <f t="shared" si="31"/>
        <v>0</v>
      </c>
      <c r="E31" s="56">
        <v>3</v>
      </c>
      <c r="F31" s="58">
        <f t="shared" si="32"/>
        <v>9</v>
      </c>
      <c r="G31" s="58">
        <f t="shared" si="33"/>
        <v>4</v>
      </c>
      <c r="H31" s="59" t="str">
        <f t="shared" si="26"/>
        <v>T_03</v>
      </c>
      <c r="I31" s="59" t="str">
        <f t="shared" si="27"/>
        <v>T_08</v>
      </c>
      <c r="J31" s="59">
        <f t="shared" ref="J31:J33" si="36">J30</f>
        <v>1</v>
      </c>
      <c r="K31" s="60">
        <f t="shared" si="34"/>
        <v>43833</v>
      </c>
      <c r="O31"/>
      <c r="P31"/>
      <c r="Q31" s="122">
        <v>3</v>
      </c>
      <c r="R31" s="122" t="str">
        <f t="shared" ca="1" si="35"/>
        <v>Christiansfelt</v>
      </c>
      <c r="S31" s="122" t="str">
        <f t="shared" ca="1" si="28"/>
        <v>Holeby</v>
      </c>
      <c r="T31" s="134"/>
      <c r="U31" s="123" t="str">
        <f>IFERROR(U30+mMin,"-")</f>
        <v>-</v>
      </c>
      <c r="V31" s="146"/>
      <c r="W31" s="147"/>
      <c r="X31" s="148"/>
      <c r="Y31" s="121" t="str">
        <f t="shared" si="29"/>
        <v>-</v>
      </c>
      <c r="Z31" s="121" t="str">
        <f t="shared" si="30"/>
        <v>-</v>
      </c>
    </row>
    <row r="32" spans="1:26" ht="17.399999999999999" x14ac:dyDescent="0.35">
      <c r="C32" s="56" t="s">
        <v>79</v>
      </c>
      <c r="D32" s="57">
        <f t="shared" si="31"/>
        <v>0</v>
      </c>
      <c r="E32" s="56">
        <v>4</v>
      </c>
      <c r="F32" s="58">
        <f t="shared" si="32"/>
        <v>8</v>
      </c>
      <c r="G32" s="58">
        <f t="shared" si="33"/>
        <v>5</v>
      </c>
      <c r="H32" s="59" t="str">
        <f t="shared" si="26"/>
        <v>T_04</v>
      </c>
      <c r="I32" s="59" t="str">
        <f t="shared" si="27"/>
        <v>T_07</v>
      </c>
      <c r="J32" s="59">
        <f t="shared" si="36"/>
        <v>1</v>
      </c>
      <c r="K32" s="60">
        <f t="shared" si="34"/>
        <v>43833</v>
      </c>
      <c r="O32"/>
      <c r="P32"/>
      <c r="Q32" s="122">
        <v>4</v>
      </c>
      <c r="R32" s="122" t="str">
        <f t="shared" ca="1" si="35"/>
        <v>Dragør</v>
      </c>
      <c r="S32" s="122" t="str">
        <f t="shared" ca="1" si="28"/>
        <v>Glamsbjerg</v>
      </c>
      <c r="T32" s="134"/>
      <c r="U32" s="123" t="str">
        <f>IFERROR(U31+mMin,"-")</f>
        <v>-</v>
      </c>
      <c r="V32" s="146"/>
      <c r="W32" s="147"/>
      <c r="X32" s="148"/>
      <c r="Y32" s="121" t="str">
        <f t="shared" si="29"/>
        <v>-</v>
      </c>
      <c r="Z32" s="121" t="str">
        <f t="shared" si="30"/>
        <v>-</v>
      </c>
    </row>
    <row r="33" spans="3:26" ht="18" thickBot="1" x14ac:dyDescent="0.4">
      <c r="C33" s="56" t="s">
        <v>80</v>
      </c>
      <c r="D33" s="57">
        <f t="shared" si="31"/>
        <v>0</v>
      </c>
      <c r="E33" s="56">
        <v>5</v>
      </c>
      <c r="F33" s="58">
        <f t="shared" si="32"/>
        <v>7</v>
      </c>
      <c r="G33" s="58">
        <f t="shared" si="33"/>
        <v>6</v>
      </c>
      <c r="H33" s="59" t="str">
        <f t="shared" si="26"/>
        <v>T_05</v>
      </c>
      <c r="I33" s="59" t="str">
        <f t="shared" si="27"/>
        <v>T_06</v>
      </c>
      <c r="J33" s="59">
        <f t="shared" si="36"/>
        <v>1</v>
      </c>
      <c r="K33" s="60">
        <f t="shared" si="34"/>
        <v>43833</v>
      </c>
      <c r="O33"/>
      <c r="P33"/>
      <c r="Q33" s="124">
        <v>5</v>
      </c>
      <c r="R33" s="124" t="str">
        <f t="shared" ca="1" si="35"/>
        <v>Ejby</v>
      </c>
      <c r="S33" s="124" t="str">
        <f t="shared" ca="1" si="28"/>
        <v>Fjerritslev</v>
      </c>
      <c r="T33" s="135"/>
      <c r="U33" s="125" t="str">
        <f>IFERROR(U32+mMin,"-")</f>
        <v>-</v>
      </c>
      <c r="V33" s="149"/>
      <c r="W33" s="150"/>
      <c r="X33" s="151"/>
      <c r="Y33" s="126" t="str">
        <f t="shared" si="29"/>
        <v>-</v>
      </c>
      <c r="Z33" s="126" t="str">
        <f t="shared" si="30"/>
        <v>-</v>
      </c>
    </row>
    <row r="34" spans="3:26" ht="17.399999999999999" x14ac:dyDescent="0.35">
      <c r="C34" s="56" t="s">
        <v>81</v>
      </c>
      <c r="D34" s="57">
        <f t="shared" si="31"/>
        <v>0</v>
      </c>
      <c r="E34" s="56">
        <v>6</v>
      </c>
      <c r="F34" s="58">
        <f t="shared" si="32"/>
        <v>2</v>
      </c>
      <c r="G34" s="58">
        <f t="shared" si="33"/>
        <v>10</v>
      </c>
      <c r="H34" s="59" t="str">
        <f t="shared" si="26"/>
        <v>T_09</v>
      </c>
      <c r="I34" s="59" t="str">
        <f t="shared" si="27"/>
        <v>T_01</v>
      </c>
      <c r="J34" s="59">
        <f>J29+1</f>
        <v>2</v>
      </c>
      <c r="K34" s="60">
        <f t="shared" si="34"/>
        <v>43834</v>
      </c>
      <c r="O34"/>
      <c r="P34"/>
      <c r="Q34" s="122">
        <v>6</v>
      </c>
      <c r="R34" s="122" t="str">
        <f ca="1">INDIRECT(H34)</f>
        <v>Indre By</v>
      </c>
      <c r="S34" s="122" t="str">
        <f t="shared" ca="1" si="28"/>
        <v>Assens</v>
      </c>
      <c r="T34" s="134"/>
      <c r="U34" s="123" t="s">
        <v>33</v>
      </c>
      <c r="V34" s="146"/>
      <c r="W34" s="147"/>
      <c r="X34" s="148"/>
      <c r="Y34" s="121" t="str">
        <f t="shared" si="29"/>
        <v>-</v>
      </c>
      <c r="Z34" s="121" t="str">
        <f t="shared" si="30"/>
        <v>-</v>
      </c>
    </row>
    <row r="35" spans="3:26" ht="17.399999999999999" x14ac:dyDescent="0.35">
      <c r="C35" s="56" t="s">
        <v>82</v>
      </c>
      <c r="D35" s="57">
        <f t="shared" si="31"/>
        <v>0</v>
      </c>
      <c r="E35" s="56">
        <v>7</v>
      </c>
      <c r="F35" s="58">
        <f t="shared" si="32"/>
        <v>9</v>
      </c>
      <c r="G35" s="58">
        <f t="shared" si="33"/>
        <v>11</v>
      </c>
      <c r="H35" s="59" t="str">
        <f t="shared" si="26"/>
        <v>T_10</v>
      </c>
      <c r="I35" s="59" t="str">
        <f t="shared" si="27"/>
        <v>T_08</v>
      </c>
      <c r="J35" s="59">
        <f>J34</f>
        <v>2</v>
      </c>
      <c r="K35" s="60">
        <f t="shared" si="34"/>
        <v>43834</v>
      </c>
      <c r="O35"/>
      <c r="P35"/>
      <c r="Q35" s="122">
        <v>7</v>
      </c>
      <c r="R35" s="122" t="str">
        <f t="shared" ca="1" si="35"/>
        <v>Jullerup</v>
      </c>
      <c r="S35" s="122" t="str">
        <f t="shared" ca="1" si="28"/>
        <v>Holeby</v>
      </c>
      <c r="T35" s="134"/>
      <c r="U35" s="123" t="str">
        <f>IFERROR(U34+mMin,"-")</f>
        <v>-</v>
      </c>
      <c r="V35" s="146"/>
      <c r="W35" s="147"/>
      <c r="X35" s="148"/>
      <c r="Y35" s="121" t="str">
        <f t="shared" si="29"/>
        <v>-</v>
      </c>
      <c r="Z35" s="121" t="str">
        <f t="shared" si="30"/>
        <v>-</v>
      </c>
    </row>
    <row r="36" spans="3:26" ht="17.399999999999999" x14ac:dyDescent="0.35">
      <c r="C36" s="56" t="s">
        <v>83</v>
      </c>
      <c r="D36" s="57">
        <f t="shared" si="31"/>
        <v>0</v>
      </c>
      <c r="E36" s="56">
        <v>8</v>
      </c>
      <c r="F36" s="58">
        <f t="shared" si="32"/>
        <v>8</v>
      </c>
      <c r="G36" s="58">
        <f t="shared" si="33"/>
        <v>3</v>
      </c>
      <c r="H36" s="59" t="str">
        <f t="shared" si="26"/>
        <v>T_02</v>
      </c>
      <c r="I36" s="59" t="str">
        <f t="shared" si="27"/>
        <v>T_07</v>
      </c>
      <c r="J36" s="59">
        <f t="shared" ref="J36:J38" si="37">J35</f>
        <v>2</v>
      </c>
      <c r="K36" s="60">
        <f t="shared" si="34"/>
        <v>43834</v>
      </c>
      <c r="O36"/>
      <c r="P36"/>
      <c r="Q36" s="122">
        <v>8</v>
      </c>
      <c r="R36" s="122" t="str">
        <f t="shared" ca="1" si="35"/>
        <v>Bogense</v>
      </c>
      <c r="S36" s="122" t="str">
        <f t="shared" ca="1" si="28"/>
        <v>Glamsbjerg</v>
      </c>
      <c r="T36" s="134"/>
      <c r="U36" s="123" t="str">
        <f>IFERROR(U35+mMin,"-")</f>
        <v>-</v>
      </c>
      <c r="V36" s="146"/>
      <c r="W36" s="147"/>
      <c r="X36" s="148"/>
      <c r="Y36" s="121" t="str">
        <f t="shared" si="29"/>
        <v>-</v>
      </c>
      <c r="Z36" s="121" t="str">
        <f t="shared" si="30"/>
        <v>-</v>
      </c>
    </row>
    <row r="37" spans="3:26" ht="17.399999999999999" x14ac:dyDescent="0.35">
      <c r="C37" s="56" t="s">
        <v>84</v>
      </c>
      <c r="D37" s="57">
        <f t="shared" si="31"/>
        <v>0</v>
      </c>
      <c r="E37" s="56">
        <v>9</v>
      </c>
      <c r="F37" s="58">
        <f t="shared" si="32"/>
        <v>7</v>
      </c>
      <c r="G37" s="58">
        <f t="shared" si="33"/>
        <v>4</v>
      </c>
      <c r="H37" s="59" t="str">
        <f t="shared" si="26"/>
        <v>T_03</v>
      </c>
      <c r="I37" s="59" t="str">
        <f t="shared" si="27"/>
        <v>T_06</v>
      </c>
      <c r="J37" s="59">
        <f t="shared" si="37"/>
        <v>2</v>
      </c>
      <c r="K37" s="60">
        <f t="shared" si="34"/>
        <v>43834</v>
      </c>
      <c r="O37"/>
      <c r="P37"/>
      <c r="Q37" s="122">
        <v>9</v>
      </c>
      <c r="R37" s="122" t="str">
        <f t="shared" ca="1" si="35"/>
        <v>Christiansfelt</v>
      </c>
      <c r="S37" s="122" t="str">
        <f t="shared" ca="1" si="28"/>
        <v>Fjerritslev</v>
      </c>
      <c r="T37" s="134"/>
      <c r="U37" s="123" t="str">
        <f>IFERROR(U36+mMin,"-")</f>
        <v>-</v>
      </c>
      <c r="V37" s="146"/>
      <c r="W37" s="147"/>
      <c r="X37" s="148"/>
      <c r="Y37" s="121" t="str">
        <f t="shared" si="29"/>
        <v>-</v>
      </c>
      <c r="Z37" s="121" t="str">
        <f t="shared" si="30"/>
        <v>-</v>
      </c>
    </row>
    <row r="38" spans="3:26" ht="18" thickBot="1" x14ac:dyDescent="0.4">
      <c r="C38" s="56" t="s">
        <v>85</v>
      </c>
      <c r="D38" s="57">
        <f t="shared" si="31"/>
        <v>0</v>
      </c>
      <c r="E38" s="56">
        <v>10</v>
      </c>
      <c r="F38" s="58">
        <f t="shared" si="32"/>
        <v>6</v>
      </c>
      <c r="G38" s="58">
        <f t="shared" si="33"/>
        <v>5</v>
      </c>
      <c r="H38" s="59" t="str">
        <f t="shared" si="26"/>
        <v>T_04</v>
      </c>
      <c r="I38" s="59" t="str">
        <f t="shared" si="27"/>
        <v>T_05</v>
      </c>
      <c r="J38" s="59">
        <f t="shared" si="37"/>
        <v>2</v>
      </c>
      <c r="K38" s="60">
        <f t="shared" si="34"/>
        <v>43834</v>
      </c>
      <c r="O38"/>
      <c r="P38"/>
      <c r="Q38" s="124">
        <v>10</v>
      </c>
      <c r="R38" s="124" t="str">
        <f t="shared" ca="1" si="35"/>
        <v>Dragør</v>
      </c>
      <c r="S38" s="124" t="str">
        <f t="shared" ca="1" si="28"/>
        <v>Ejby</v>
      </c>
      <c r="T38" s="135"/>
      <c r="U38" s="125" t="str">
        <f>IFERROR(U37+mMin,"-")</f>
        <v>-</v>
      </c>
      <c r="V38" s="149"/>
      <c r="W38" s="150"/>
      <c r="X38" s="151"/>
      <c r="Y38" s="126" t="str">
        <f t="shared" si="29"/>
        <v>-</v>
      </c>
      <c r="Z38" s="126" t="str">
        <f t="shared" si="30"/>
        <v>-</v>
      </c>
    </row>
    <row r="39" spans="3:26" ht="17.399999999999999" x14ac:dyDescent="0.35">
      <c r="C39" s="56" t="s">
        <v>86</v>
      </c>
      <c r="D39" s="57">
        <f t="shared" si="31"/>
        <v>0</v>
      </c>
      <c r="E39" s="56">
        <v>11</v>
      </c>
      <c r="F39" s="58">
        <f t="shared" si="32"/>
        <v>9</v>
      </c>
      <c r="G39" s="58">
        <f t="shared" si="33"/>
        <v>2</v>
      </c>
      <c r="H39" s="59" t="str">
        <f t="shared" si="26"/>
        <v>T_01</v>
      </c>
      <c r="I39" s="59" t="str">
        <f t="shared" si="27"/>
        <v>T_08</v>
      </c>
      <c r="J39" s="59">
        <f>J34+1</f>
        <v>3</v>
      </c>
      <c r="K39" s="60">
        <f t="shared" si="34"/>
        <v>43835</v>
      </c>
      <c r="O39"/>
      <c r="P39"/>
      <c r="Q39" s="122">
        <v>11</v>
      </c>
      <c r="R39" s="122" t="str">
        <f t="shared" ca="1" si="35"/>
        <v>Assens</v>
      </c>
      <c r="S39" s="122" t="str">
        <f t="shared" ca="1" si="28"/>
        <v>Holeby</v>
      </c>
      <c r="T39" s="134"/>
      <c r="U39" s="123" t="s">
        <v>33</v>
      </c>
      <c r="V39" s="146"/>
      <c r="W39" s="147"/>
      <c r="X39" s="148"/>
      <c r="Y39" s="121" t="str">
        <f t="shared" si="29"/>
        <v>-</v>
      </c>
      <c r="Z39" s="121" t="str">
        <f t="shared" si="30"/>
        <v>-</v>
      </c>
    </row>
    <row r="40" spans="3:26" ht="17.399999999999999" x14ac:dyDescent="0.35">
      <c r="C40" s="56" t="s">
        <v>87</v>
      </c>
      <c r="D40" s="57">
        <f t="shared" si="31"/>
        <v>0</v>
      </c>
      <c r="E40" s="56">
        <v>12</v>
      </c>
      <c r="F40" s="58">
        <f t="shared" si="32"/>
        <v>8</v>
      </c>
      <c r="G40" s="58">
        <f t="shared" si="33"/>
        <v>10</v>
      </c>
      <c r="H40" s="59" t="str">
        <f t="shared" si="26"/>
        <v>T_09</v>
      </c>
      <c r="I40" s="59" t="str">
        <f t="shared" si="27"/>
        <v>T_07</v>
      </c>
      <c r="J40" s="59">
        <f>J39</f>
        <v>3</v>
      </c>
      <c r="K40" s="60">
        <f t="shared" si="34"/>
        <v>43835</v>
      </c>
      <c r="O40"/>
      <c r="P40"/>
      <c r="Q40" s="122">
        <v>12</v>
      </c>
      <c r="R40" s="122" t="str">
        <f t="shared" ca="1" si="35"/>
        <v>Indre By</v>
      </c>
      <c r="S40" s="122" t="str">
        <f t="shared" ca="1" si="28"/>
        <v>Glamsbjerg</v>
      </c>
      <c r="T40" s="134"/>
      <c r="U40" s="123" t="str">
        <f>IFERROR(U39+mMin,"-")</f>
        <v>-</v>
      </c>
      <c r="V40" s="146"/>
      <c r="W40" s="147"/>
      <c r="X40" s="148"/>
      <c r="Y40" s="121" t="str">
        <f t="shared" si="29"/>
        <v>-</v>
      </c>
      <c r="Z40" s="121" t="str">
        <f t="shared" si="30"/>
        <v>-</v>
      </c>
    </row>
    <row r="41" spans="3:26" ht="17.399999999999999" x14ac:dyDescent="0.35">
      <c r="C41" s="56" t="s">
        <v>88</v>
      </c>
      <c r="D41" s="57">
        <f t="shared" si="31"/>
        <v>0</v>
      </c>
      <c r="E41" s="56">
        <v>13</v>
      </c>
      <c r="F41" s="58">
        <f t="shared" si="32"/>
        <v>7</v>
      </c>
      <c r="G41" s="58">
        <f t="shared" si="33"/>
        <v>11</v>
      </c>
      <c r="H41" s="59" t="str">
        <f t="shared" si="26"/>
        <v>T_10</v>
      </c>
      <c r="I41" s="59" t="str">
        <f t="shared" si="27"/>
        <v>T_06</v>
      </c>
      <c r="J41" s="59">
        <f t="shared" ref="J41:J43" si="38">J40</f>
        <v>3</v>
      </c>
      <c r="K41" s="60">
        <f t="shared" si="34"/>
        <v>43835</v>
      </c>
      <c r="O41"/>
      <c r="P41"/>
      <c r="Q41" s="122">
        <v>13</v>
      </c>
      <c r="R41" s="122" t="str">
        <f t="shared" ca="1" si="35"/>
        <v>Jullerup</v>
      </c>
      <c r="S41" s="122" t="str">
        <f t="shared" ca="1" si="28"/>
        <v>Fjerritslev</v>
      </c>
      <c r="T41" s="134"/>
      <c r="U41" s="123" t="str">
        <f>IFERROR(U40+mMin,"-")</f>
        <v>-</v>
      </c>
      <c r="V41" s="146"/>
      <c r="W41" s="147"/>
      <c r="X41" s="148"/>
      <c r="Y41" s="121" t="str">
        <f t="shared" si="29"/>
        <v>-</v>
      </c>
      <c r="Z41" s="121" t="str">
        <f t="shared" si="30"/>
        <v>-</v>
      </c>
    </row>
    <row r="42" spans="3:26" ht="17.399999999999999" x14ac:dyDescent="0.35">
      <c r="C42" s="56" t="s">
        <v>89</v>
      </c>
      <c r="D42" s="57">
        <f t="shared" si="31"/>
        <v>0</v>
      </c>
      <c r="E42" s="56">
        <v>14</v>
      </c>
      <c r="F42" s="58">
        <f t="shared" si="32"/>
        <v>6</v>
      </c>
      <c r="G42" s="58">
        <f t="shared" si="33"/>
        <v>3</v>
      </c>
      <c r="H42" s="59" t="str">
        <f t="shared" si="26"/>
        <v>T_02</v>
      </c>
      <c r="I42" s="59" t="str">
        <f t="shared" si="27"/>
        <v>T_05</v>
      </c>
      <c r="J42" s="59">
        <f t="shared" si="38"/>
        <v>3</v>
      </c>
      <c r="K42" s="60">
        <f t="shared" si="34"/>
        <v>43835</v>
      </c>
      <c r="O42"/>
      <c r="P42"/>
      <c r="Q42" s="122">
        <v>14</v>
      </c>
      <c r="R42" s="122" t="str">
        <f t="shared" ca="1" si="35"/>
        <v>Bogense</v>
      </c>
      <c r="S42" s="122" t="str">
        <f t="shared" ca="1" si="28"/>
        <v>Ejby</v>
      </c>
      <c r="T42" s="134"/>
      <c r="U42" s="123" t="str">
        <f>IFERROR(U41+mMin,"-")</f>
        <v>-</v>
      </c>
      <c r="V42" s="146"/>
      <c r="W42" s="147"/>
      <c r="X42" s="148"/>
      <c r="Y42" s="121" t="str">
        <f t="shared" si="29"/>
        <v>-</v>
      </c>
      <c r="Z42" s="121" t="str">
        <f t="shared" si="30"/>
        <v>-</v>
      </c>
    </row>
    <row r="43" spans="3:26" ht="18" thickBot="1" x14ac:dyDescent="0.4">
      <c r="C43" s="56" t="s">
        <v>90</v>
      </c>
      <c r="D43" s="57">
        <f t="shared" si="31"/>
        <v>0</v>
      </c>
      <c r="E43" s="56">
        <v>15</v>
      </c>
      <c r="F43" s="58">
        <f t="shared" si="32"/>
        <v>5</v>
      </c>
      <c r="G43" s="58">
        <f t="shared" si="33"/>
        <v>4</v>
      </c>
      <c r="H43" s="59" t="str">
        <f t="shared" si="26"/>
        <v>T_03</v>
      </c>
      <c r="I43" s="59" t="str">
        <f t="shared" si="27"/>
        <v>T_04</v>
      </c>
      <c r="J43" s="59">
        <f t="shared" si="38"/>
        <v>3</v>
      </c>
      <c r="K43" s="60">
        <f t="shared" si="34"/>
        <v>43835</v>
      </c>
      <c r="O43"/>
      <c r="P43"/>
      <c r="Q43" s="124">
        <v>15</v>
      </c>
      <c r="R43" s="124" t="str">
        <f t="shared" ca="1" si="35"/>
        <v>Christiansfelt</v>
      </c>
      <c r="S43" s="124" t="str">
        <f t="shared" ca="1" si="28"/>
        <v>Dragør</v>
      </c>
      <c r="T43" s="135"/>
      <c r="U43" s="125" t="str">
        <f>IFERROR(U42+mMin,"-")</f>
        <v>-</v>
      </c>
      <c r="V43" s="149"/>
      <c r="W43" s="150"/>
      <c r="X43" s="151"/>
      <c r="Y43" s="126" t="str">
        <f t="shared" si="29"/>
        <v>-</v>
      </c>
      <c r="Z43" s="126" t="str">
        <f t="shared" si="30"/>
        <v>-</v>
      </c>
    </row>
    <row r="44" spans="3:26" ht="17.399999999999999" x14ac:dyDescent="0.35">
      <c r="C44" s="56" t="s">
        <v>91</v>
      </c>
      <c r="D44" s="57">
        <f t="shared" si="31"/>
        <v>0</v>
      </c>
      <c r="E44" s="56">
        <v>16</v>
      </c>
      <c r="F44" s="58">
        <f t="shared" si="32"/>
        <v>2</v>
      </c>
      <c r="G44" s="58">
        <f t="shared" si="33"/>
        <v>8</v>
      </c>
      <c r="H44" s="59" t="str">
        <f t="shared" si="26"/>
        <v>T_07</v>
      </c>
      <c r="I44" s="59" t="str">
        <f t="shared" si="27"/>
        <v>T_01</v>
      </c>
      <c r="J44" s="59">
        <f t="shared" ref="J44" si="39">J39+1</f>
        <v>4</v>
      </c>
      <c r="K44" s="60">
        <f t="shared" si="34"/>
        <v>43836</v>
      </c>
      <c r="O44"/>
      <c r="P44"/>
      <c r="Q44" s="122">
        <v>16</v>
      </c>
      <c r="R44" s="122" t="str">
        <f t="shared" ca="1" si="35"/>
        <v>Glamsbjerg</v>
      </c>
      <c r="S44" s="122" t="str">
        <f t="shared" ca="1" si="28"/>
        <v>Assens</v>
      </c>
      <c r="T44" s="134"/>
      <c r="U44" s="123" t="s">
        <v>33</v>
      </c>
      <c r="V44" s="146"/>
      <c r="W44" s="147"/>
      <c r="X44" s="148"/>
      <c r="Y44" s="121" t="str">
        <f t="shared" si="29"/>
        <v>-</v>
      </c>
      <c r="Z44" s="121" t="str">
        <f t="shared" si="30"/>
        <v>-</v>
      </c>
    </row>
    <row r="45" spans="3:26" ht="17.399999999999999" x14ac:dyDescent="0.35">
      <c r="C45" s="56" t="s">
        <v>92</v>
      </c>
      <c r="D45" s="57">
        <f t="shared" si="31"/>
        <v>0</v>
      </c>
      <c r="E45" s="56">
        <v>17</v>
      </c>
      <c r="F45" s="58">
        <f t="shared" si="32"/>
        <v>7</v>
      </c>
      <c r="G45" s="58">
        <f t="shared" si="33"/>
        <v>9</v>
      </c>
      <c r="H45" s="59" t="str">
        <f t="shared" si="26"/>
        <v>T_08</v>
      </c>
      <c r="I45" s="59" t="str">
        <f t="shared" si="27"/>
        <v>T_06</v>
      </c>
      <c r="J45" s="59">
        <f t="shared" ref="J45:J73" si="40">J44</f>
        <v>4</v>
      </c>
      <c r="K45" s="60">
        <f t="shared" si="34"/>
        <v>43836</v>
      </c>
      <c r="O45"/>
      <c r="P45"/>
      <c r="Q45" s="122">
        <v>17</v>
      </c>
      <c r="R45" s="122" t="str">
        <f t="shared" ca="1" si="35"/>
        <v>Holeby</v>
      </c>
      <c r="S45" s="122" t="str">
        <f t="shared" ca="1" si="28"/>
        <v>Fjerritslev</v>
      </c>
      <c r="T45" s="134"/>
      <c r="U45" s="123" t="str">
        <f>IFERROR(U44+mMin,"-")</f>
        <v>-</v>
      </c>
      <c r="V45" s="146"/>
      <c r="W45" s="147"/>
      <c r="X45" s="148"/>
      <c r="Y45" s="121" t="str">
        <f t="shared" si="29"/>
        <v>-</v>
      </c>
      <c r="Z45" s="121" t="str">
        <f t="shared" si="30"/>
        <v>-</v>
      </c>
    </row>
    <row r="46" spans="3:26" ht="17.399999999999999" x14ac:dyDescent="0.35">
      <c r="C46" s="56" t="s">
        <v>93</v>
      </c>
      <c r="D46" s="57">
        <f t="shared" si="31"/>
        <v>0</v>
      </c>
      <c r="E46" s="56">
        <v>18</v>
      </c>
      <c r="F46" s="58">
        <f t="shared" si="32"/>
        <v>6</v>
      </c>
      <c r="G46" s="58">
        <f t="shared" si="33"/>
        <v>10</v>
      </c>
      <c r="H46" s="59" t="str">
        <f t="shared" si="26"/>
        <v>T_09</v>
      </c>
      <c r="I46" s="59" t="str">
        <f t="shared" si="27"/>
        <v>T_05</v>
      </c>
      <c r="J46" s="59">
        <f t="shared" si="40"/>
        <v>4</v>
      </c>
      <c r="K46" s="60">
        <f t="shared" si="34"/>
        <v>43836</v>
      </c>
      <c r="O46"/>
      <c r="P46"/>
      <c r="Q46" s="122">
        <v>18</v>
      </c>
      <c r="R46" s="122" t="str">
        <f t="shared" ca="1" si="35"/>
        <v>Indre By</v>
      </c>
      <c r="S46" s="122" t="str">
        <f t="shared" ca="1" si="28"/>
        <v>Ejby</v>
      </c>
      <c r="T46" s="134"/>
      <c r="U46" s="123" t="str">
        <f>IFERROR(U45+mMin,"-")</f>
        <v>-</v>
      </c>
      <c r="V46" s="146"/>
      <c r="W46" s="147"/>
      <c r="X46" s="148"/>
      <c r="Y46" s="121" t="str">
        <f t="shared" si="29"/>
        <v>-</v>
      </c>
      <c r="Z46" s="121" t="str">
        <f t="shared" si="30"/>
        <v>-</v>
      </c>
    </row>
    <row r="47" spans="3:26" ht="17.399999999999999" x14ac:dyDescent="0.35">
      <c r="C47" s="56" t="s">
        <v>94</v>
      </c>
      <c r="D47" s="57">
        <f t="shared" si="31"/>
        <v>0</v>
      </c>
      <c r="E47" s="56">
        <v>19</v>
      </c>
      <c r="F47" s="58">
        <f t="shared" si="32"/>
        <v>5</v>
      </c>
      <c r="G47" s="58">
        <f t="shared" si="33"/>
        <v>11</v>
      </c>
      <c r="H47" s="59" t="str">
        <f t="shared" si="26"/>
        <v>T_10</v>
      </c>
      <c r="I47" s="59" t="str">
        <f t="shared" si="27"/>
        <v>T_04</v>
      </c>
      <c r="J47" s="59">
        <f t="shared" si="40"/>
        <v>4</v>
      </c>
      <c r="K47" s="60">
        <f t="shared" si="34"/>
        <v>43836</v>
      </c>
      <c r="O47"/>
      <c r="P47"/>
      <c r="Q47" s="122">
        <v>19</v>
      </c>
      <c r="R47" s="122" t="str">
        <f t="shared" ca="1" si="35"/>
        <v>Jullerup</v>
      </c>
      <c r="S47" s="122" t="str">
        <f t="shared" ca="1" si="28"/>
        <v>Dragør</v>
      </c>
      <c r="T47" s="134"/>
      <c r="U47" s="123" t="str">
        <f>IFERROR(U46+mMin,"-")</f>
        <v>-</v>
      </c>
      <c r="V47" s="146"/>
      <c r="W47" s="147"/>
      <c r="X47" s="148"/>
      <c r="Y47" s="121" t="str">
        <f t="shared" si="29"/>
        <v>-</v>
      </c>
      <c r="Z47" s="121" t="str">
        <f t="shared" si="30"/>
        <v>-</v>
      </c>
    </row>
    <row r="48" spans="3:26" ht="18" thickBot="1" x14ac:dyDescent="0.4">
      <c r="C48" s="56" t="s">
        <v>95</v>
      </c>
      <c r="D48" s="57">
        <f t="shared" si="31"/>
        <v>0</v>
      </c>
      <c r="E48" s="56">
        <v>20</v>
      </c>
      <c r="F48" s="58">
        <f t="shared" si="32"/>
        <v>4</v>
      </c>
      <c r="G48" s="58">
        <f t="shared" si="33"/>
        <v>3</v>
      </c>
      <c r="H48" s="59" t="str">
        <f t="shared" si="26"/>
        <v>T_02</v>
      </c>
      <c r="I48" s="59" t="str">
        <f t="shared" si="27"/>
        <v>T_03</v>
      </c>
      <c r="J48" s="59">
        <f t="shared" si="40"/>
        <v>4</v>
      </c>
      <c r="K48" s="60">
        <f t="shared" si="34"/>
        <v>43836</v>
      </c>
      <c r="O48"/>
      <c r="P48"/>
      <c r="Q48" s="124">
        <v>20</v>
      </c>
      <c r="R48" s="124" t="str">
        <f t="shared" ca="1" si="35"/>
        <v>Bogense</v>
      </c>
      <c r="S48" s="124" t="str">
        <f t="shared" ca="1" si="28"/>
        <v>Christiansfelt</v>
      </c>
      <c r="T48" s="135"/>
      <c r="U48" s="125" t="str">
        <f>IFERROR(U47+mMin,"-")</f>
        <v>-</v>
      </c>
      <c r="V48" s="149"/>
      <c r="W48" s="150"/>
      <c r="X48" s="151"/>
      <c r="Y48" s="126" t="str">
        <f t="shared" si="29"/>
        <v>-</v>
      </c>
      <c r="Z48" s="126" t="str">
        <f t="shared" si="30"/>
        <v>-</v>
      </c>
    </row>
    <row r="49" spans="3:26" ht="17.399999999999999" x14ac:dyDescent="0.35">
      <c r="C49" s="56" t="s">
        <v>96</v>
      </c>
      <c r="D49" s="57">
        <f t="shared" si="31"/>
        <v>0</v>
      </c>
      <c r="E49" s="56">
        <v>21</v>
      </c>
      <c r="F49" s="58">
        <f t="shared" si="32"/>
        <v>7</v>
      </c>
      <c r="G49" s="58">
        <f t="shared" si="33"/>
        <v>2</v>
      </c>
      <c r="H49" s="59" t="str">
        <f t="shared" si="26"/>
        <v>T_01</v>
      </c>
      <c r="I49" s="59" t="str">
        <f t="shared" si="27"/>
        <v>T_06</v>
      </c>
      <c r="J49" s="59">
        <f t="shared" ref="J49" si="41">J44+1</f>
        <v>5</v>
      </c>
      <c r="K49" s="60">
        <f t="shared" si="34"/>
        <v>43837</v>
      </c>
      <c r="O49"/>
      <c r="P49"/>
      <c r="Q49" s="122">
        <v>21</v>
      </c>
      <c r="R49" s="122" t="str">
        <f t="shared" ca="1" si="35"/>
        <v>Assens</v>
      </c>
      <c r="S49" s="122" t="str">
        <f t="shared" ca="1" si="28"/>
        <v>Fjerritslev</v>
      </c>
      <c r="T49" s="134"/>
      <c r="U49" s="123" t="s">
        <v>33</v>
      </c>
      <c r="V49" s="146"/>
      <c r="W49" s="147"/>
      <c r="X49" s="148"/>
      <c r="Y49" s="121" t="str">
        <f t="shared" si="29"/>
        <v>-</v>
      </c>
      <c r="Z49" s="121" t="str">
        <f t="shared" si="30"/>
        <v>-</v>
      </c>
    </row>
    <row r="50" spans="3:26" ht="17.399999999999999" x14ac:dyDescent="0.35">
      <c r="C50" s="56" t="s">
        <v>97</v>
      </c>
      <c r="D50" s="57">
        <f t="shared" si="31"/>
        <v>0</v>
      </c>
      <c r="E50" s="56">
        <v>22</v>
      </c>
      <c r="F50" s="58">
        <f t="shared" si="32"/>
        <v>6</v>
      </c>
      <c r="G50" s="58">
        <f t="shared" si="33"/>
        <v>8</v>
      </c>
      <c r="H50" s="59" t="str">
        <f t="shared" si="26"/>
        <v>T_07</v>
      </c>
      <c r="I50" s="59" t="str">
        <f t="shared" si="27"/>
        <v>T_05</v>
      </c>
      <c r="J50" s="59">
        <f t="shared" ref="J50" si="42">J49</f>
        <v>5</v>
      </c>
      <c r="K50" s="60">
        <f t="shared" si="34"/>
        <v>43837</v>
      </c>
      <c r="O50"/>
      <c r="P50"/>
      <c r="Q50" s="122">
        <v>22</v>
      </c>
      <c r="R50" s="122" t="str">
        <f t="shared" ca="1" si="35"/>
        <v>Glamsbjerg</v>
      </c>
      <c r="S50" s="122" t="str">
        <f t="shared" ca="1" si="28"/>
        <v>Ejby</v>
      </c>
      <c r="T50" s="134"/>
      <c r="U50" s="123" t="str">
        <f>IFERROR(U49+mMin,"-")</f>
        <v>-</v>
      </c>
      <c r="V50" s="146"/>
      <c r="W50" s="147"/>
      <c r="X50" s="148"/>
      <c r="Y50" s="121" t="str">
        <f t="shared" si="29"/>
        <v>-</v>
      </c>
      <c r="Z50" s="121" t="str">
        <f t="shared" si="30"/>
        <v>-</v>
      </c>
    </row>
    <row r="51" spans="3:26" ht="17.399999999999999" x14ac:dyDescent="0.35">
      <c r="C51" s="56" t="s">
        <v>98</v>
      </c>
      <c r="D51" s="57">
        <f t="shared" si="31"/>
        <v>0</v>
      </c>
      <c r="E51" s="56">
        <v>23</v>
      </c>
      <c r="F51" s="58">
        <f t="shared" si="32"/>
        <v>5</v>
      </c>
      <c r="G51" s="58">
        <f t="shared" si="33"/>
        <v>9</v>
      </c>
      <c r="H51" s="59" t="str">
        <f t="shared" si="26"/>
        <v>T_08</v>
      </c>
      <c r="I51" s="59" t="str">
        <f t="shared" si="27"/>
        <v>T_04</v>
      </c>
      <c r="J51" s="59">
        <f t="shared" si="40"/>
        <v>5</v>
      </c>
      <c r="K51" s="60">
        <f t="shared" si="34"/>
        <v>43837</v>
      </c>
      <c r="O51"/>
      <c r="P51"/>
      <c r="Q51" s="122">
        <v>23</v>
      </c>
      <c r="R51" s="122" t="str">
        <f t="shared" ca="1" si="35"/>
        <v>Holeby</v>
      </c>
      <c r="S51" s="122" t="str">
        <f t="shared" ca="1" si="28"/>
        <v>Dragør</v>
      </c>
      <c r="T51" s="134"/>
      <c r="U51" s="123" t="str">
        <f>IFERROR(U50+mMin,"-")</f>
        <v>-</v>
      </c>
      <c r="V51" s="146"/>
      <c r="W51" s="147"/>
      <c r="X51" s="148"/>
      <c r="Y51" s="121" t="str">
        <f t="shared" si="29"/>
        <v>-</v>
      </c>
      <c r="Z51" s="121" t="str">
        <f t="shared" si="30"/>
        <v>-</v>
      </c>
    </row>
    <row r="52" spans="3:26" ht="17.399999999999999" x14ac:dyDescent="0.35">
      <c r="C52" s="56" t="s">
        <v>99</v>
      </c>
      <c r="D52" s="57">
        <f t="shared" si="31"/>
        <v>0</v>
      </c>
      <c r="E52" s="56">
        <v>24</v>
      </c>
      <c r="F52" s="58">
        <f t="shared" si="32"/>
        <v>4</v>
      </c>
      <c r="G52" s="58">
        <f t="shared" si="33"/>
        <v>10</v>
      </c>
      <c r="H52" s="59" t="str">
        <f t="shared" si="26"/>
        <v>T_09</v>
      </c>
      <c r="I52" s="59" t="str">
        <f t="shared" si="27"/>
        <v>T_03</v>
      </c>
      <c r="J52" s="59">
        <f t="shared" si="40"/>
        <v>5</v>
      </c>
      <c r="K52" s="60">
        <f t="shared" si="34"/>
        <v>43837</v>
      </c>
      <c r="O52"/>
      <c r="P52"/>
      <c r="Q52" s="122">
        <v>24</v>
      </c>
      <c r="R52" s="122" t="str">
        <f t="shared" ca="1" si="35"/>
        <v>Indre By</v>
      </c>
      <c r="S52" s="122" t="str">
        <f t="shared" ca="1" si="28"/>
        <v>Christiansfelt</v>
      </c>
      <c r="T52" s="134"/>
      <c r="U52" s="123" t="str">
        <f>IFERROR(U51+mMin,"-")</f>
        <v>-</v>
      </c>
      <c r="V52" s="146"/>
      <c r="W52" s="147"/>
      <c r="X52" s="148"/>
      <c r="Y52" s="121" t="str">
        <f t="shared" si="29"/>
        <v>-</v>
      </c>
      <c r="Z52" s="121" t="str">
        <f t="shared" si="30"/>
        <v>-</v>
      </c>
    </row>
    <row r="53" spans="3:26" ht="18" thickBot="1" x14ac:dyDescent="0.4">
      <c r="C53" s="56" t="s">
        <v>100</v>
      </c>
      <c r="D53" s="57">
        <f t="shared" si="31"/>
        <v>0</v>
      </c>
      <c r="E53" s="56">
        <v>25</v>
      </c>
      <c r="F53" s="58">
        <f t="shared" si="32"/>
        <v>3</v>
      </c>
      <c r="G53" s="58">
        <f t="shared" si="33"/>
        <v>11</v>
      </c>
      <c r="H53" s="59" t="str">
        <f t="shared" si="26"/>
        <v>T_10</v>
      </c>
      <c r="I53" s="59" t="str">
        <f t="shared" si="27"/>
        <v>T_02</v>
      </c>
      <c r="J53" s="59">
        <f t="shared" si="40"/>
        <v>5</v>
      </c>
      <c r="K53" s="60">
        <f t="shared" si="34"/>
        <v>43837</v>
      </c>
      <c r="O53"/>
      <c r="P53"/>
      <c r="Q53" s="124">
        <v>25</v>
      </c>
      <c r="R53" s="124" t="str">
        <f t="shared" ca="1" si="35"/>
        <v>Jullerup</v>
      </c>
      <c r="S53" s="124" t="str">
        <f t="shared" ca="1" si="28"/>
        <v>Bogense</v>
      </c>
      <c r="T53" s="135"/>
      <c r="U53" s="125" t="str">
        <f>IFERROR(U52+mMin,"-")</f>
        <v>-</v>
      </c>
      <c r="V53" s="149"/>
      <c r="W53" s="150"/>
      <c r="X53" s="151"/>
      <c r="Y53" s="126" t="str">
        <f t="shared" si="29"/>
        <v>-</v>
      </c>
      <c r="Z53" s="126" t="str">
        <f t="shared" si="30"/>
        <v>-</v>
      </c>
    </row>
    <row r="54" spans="3:26" ht="17.399999999999999" x14ac:dyDescent="0.35">
      <c r="C54" s="56" t="s">
        <v>101</v>
      </c>
      <c r="D54" s="57">
        <f t="shared" si="31"/>
        <v>0</v>
      </c>
      <c r="E54" s="56">
        <v>26</v>
      </c>
      <c r="F54" s="58">
        <f t="shared" si="32"/>
        <v>2</v>
      </c>
      <c r="G54" s="58">
        <f t="shared" si="33"/>
        <v>6</v>
      </c>
      <c r="H54" s="59" t="str">
        <f t="shared" si="26"/>
        <v>T_05</v>
      </c>
      <c r="I54" s="59" t="str">
        <f t="shared" si="27"/>
        <v>T_01</v>
      </c>
      <c r="J54" s="59">
        <f t="shared" ref="J54" si="43">J49+1</f>
        <v>6</v>
      </c>
      <c r="K54" s="60">
        <f t="shared" si="34"/>
        <v>43838</v>
      </c>
      <c r="O54"/>
      <c r="P54"/>
      <c r="Q54" s="122">
        <v>26</v>
      </c>
      <c r="R54" s="122" t="str">
        <f t="shared" ca="1" si="35"/>
        <v>Ejby</v>
      </c>
      <c r="S54" s="122" t="str">
        <f t="shared" ca="1" si="28"/>
        <v>Assens</v>
      </c>
      <c r="T54" s="134"/>
      <c r="U54" s="123" t="s">
        <v>33</v>
      </c>
      <c r="V54" s="146"/>
      <c r="W54" s="147"/>
      <c r="X54" s="148"/>
      <c r="Y54" s="121" t="str">
        <f t="shared" si="29"/>
        <v>-</v>
      </c>
      <c r="Z54" s="121" t="str">
        <f t="shared" si="30"/>
        <v>-</v>
      </c>
    </row>
    <row r="55" spans="3:26" ht="17.399999999999999" x14ac:dyDescent="0.35">
      <c r="C55" s="56" t="s">
        <v>102</v>
      </c>
      <c r="D55" s="57">
        <f t="shared" si="31"/>
        <v>0</v>
      </c>
      <c r="E55" s="56">
        <v>27</v>
      </c>
      <c r="F55" s="58">
        <f t="shared" si="32"/>
        <v>5</v>
      </c>
      <c r="G55" s="58">
        <f t="shared" si="33"/>
        <v>7</v>
      </c>
      <c r="H55" s="59" t="str">
        <f t="shared" si="26"/>
        <v>T_06</v>
      </c>
      <c r="I55" s="59" t="str">
        <f t="shared" si="27"/>
        <v>T_04</v>
      </c>
      <c r="J55" s="59">
        <f t="shared" ref="J55" si="44">J54</f>
        <v>6</v>
      </c>
      <c r="K55" s="60">
        <f t="shared" si="34"/>
        <v>43838</v>
      </c>
      <c r="O55"/>
      <c r="P55"/>
      <c r="Q55" s="122">
        <v>27</v>
      </c>
      <c r="R55" s="122" t="str">
        <f t="shared" ca="1" si="35"/>
        <v>Fjerritslev</v>
      </c>
      <c r="S55" s="122" t="str">
        <f t="shared" ca="1" si="28"/>
        <v>Dragør</v>
      </c>
      <c r="T55" s="134"/>
      <c r="U55" s="123" t="str">
        <f t="shared" ref="U55:U73" si="45">IFERROR(U54+mMin,"-")</f>
        <v>-</v>
      </c>
      <c r="V55" s="146"/>
      <c r="W55" s="147"/>
      <c r="X55" s="148"/>
      <c r="Y55" s="121" t="str">
        <f t="shared" si="29"/>
        <v>-</v>
      </c>
      <c r="Z55" s="121" t="str">
        <f t="shared" si="30"/>
        <v>-</v>
      </c>
    </row>
    <row r="56" spans="3:26" ht="17.399999999999999" x14ac:dyDescent="0.35">
      <c r="C56" s="56" t="s">
        <v>103</v>
      </c>
      <c r="D56" s="57">
        <f t="shared" si="31"/>
        <v>0</v>
      </c>
      <c r="E56" s="56">
        <v>28</v>
      </c>
      <c r="F56" s="58">
        <f t="shared" si="32"/>
        <v>4</v>
      </c>
      <c r="G56" s="58">
        <f t="shared" si="33"/>
        <v>8</v>
      </c>
      <c r="H56" s="59" t="str">
        <f t="shared" si="26"/>
        <v>T_07</v>
      </c>
      <c r="I56" s="59" t="str">
        <f t="shared" si="27"/>
        <v>T_03</v>
      </c>
      <c r="J56" s="59">
        <f t="shared" si="40"/>
        <v>6</v>
      </c>
      <c r="K56" s="60">
        <f t="shared" si="34"/>
        <v>43838</v>
      </c>
      <c r="O56"/>
      <c r="P56"/>
      <c r="Q56" s="122">
        <v>28</v>
      </c>
      <c r="R56" s="122" t="str">
        <f t="shared" ca="1" si="35"/>
        <v>Glamsbjerg</v>
      </c>
      <c r="S56" s="122" t="str">
        <f t="shared" ca="1" si="28"/>
        <v>Christiansfelt</v>
      </c>
      <c r="T56" s="134"/>
      <c r="U56" s="123" t="str">
        <f t="shared" si="45"/>
        <v>-</v>
      </c>
      <c r="V56" s="146"/>
      <c r="W56" s="147"/>
      <c r="X56" s="148"/>
      <c r="Y56" s="121" t="str">
        <f t="shared" si="29"/>
        <v>-</v>
      </c>
      <c r="Z56" s="121" t="str">
        <f t="shared" si="30"/>
        <v>-</v>
      </c>
    </row>
    <row r="57" spans="3:26" ht="17.399999999999999" x14ac:dyDescent="0.35">
      <c r="C57" s="56" t="s">
        <v>104</v>
      </c>
      <c r="D57" s="57">
        <f t="shared" si="31"/>
        <v>0</v>
      </c>
      <c r="E57" s="56">
        <v>29</v>
      </c>
      <c r="F57" s="58">
        <f t="shared" si="32"/>
        <v>3</v>
      </c>
      <c r="G57" s="58">
        <f t="shared" si="33"/>
        <v>9</v>
      </c>
      <c r="H57" s="59" t="str">
        <f t="shared" si="26"/>
        <v>T_08</v>
      </c>
      <c r="I57" s="59" t="str">
        <f t="shared" si="27"/>
        <v>T_02</v>
      </c>
      <c r="J57" s="59">
        <f t="shared" si="40"/>
        <v>6</v>
      </c>
      <c r="K57" s="60">
        <f t="shared" si="34"/>
        <v>43838</v>
      </c>
      <c r="O57"/>
      <c r="P57"/>
      <c r="Q57" s="122">
        <v>29</v>
      </c>
      <c r="R57" s="122" t="str">
        <f t="shared" ca="1" si="35"/>
        <v>Holeby</v>
      </c>
      <c r="S57" s="122" t="str">
        <f t="shared" ca="1" si="28"/>
        <v>Bogense</v>
      </c>
      <c r="T57" s="134"/>
      <c r="U57" s="123" t="str">
        <f t="shared" si="45"/>
        <v>-</v>
      </c>
      <c r="V57" s="146"/>
      <c r="W57" s="147"/>
      <c r="X57" s="148"/>
      <c r="Y57" s="121" t="str">
        <f t="shared" si="29"/>
        <v>-</v>
      </c>
      <c r="Z57" s="121" t="str">
        <f t="shared" si="30"/>
        <v>-</v>
      </c>
    </row>
    <row r="58" spans="3:26" ht="18" thickBot="1" x14ac:dyDescent="0.4">
      <c r="C58" s="56" t="s">
        <v>105</v>
      </c>
      <c r="D58" s="57">
        <f t="shared" si="31"/>
        <v>0</v>
      </c>
      <c r="E58" s="56">
        <v>30</v>
      </c>
      <c r="F58" s="58">
        <f t="shared" si="32"/>
        <v>11</v>
      </c>
      <c r="G58" s="58">
        <f t="shared" si="33"/>
        <v>10</v>
      </c>
      <c r="H58" s="59" t="str">
        <f t="shared" si="26"/>
        <v>T_09</v>
      </c>
      <c r="I58" s="59" t="str">
        <f t="shared" si="27"/>
        <v>T_10</v>
      </c>
      <c r="J58" s="59">
        <f t="shared" si="40"/>
        <v>6</v>
      </c>
      <c r="K58" s="60">
        <f t="shared" si="34"/>
        <v>43838</v>
      </c>
      <c r="O58"/>
      <c r="P58"/>
      <c r="Q58" s="124">
        <v>30</v>
      </c>
      <c r="R58" s="124" t="str">
        <f t="shared" ca="1" si="35"/>
        <v>Indre By</v>
      </c>
      <c r="S58" s="124" t="str">
        <f t="shared" ca="1" si="28"/>
        <v>Jullerup</v>
      </c>
      <c r="T58" s="135"/>
      <c r="U58" s="125" t="str">
        <f t="shared" si="45"/>
        <v>-</v>
      </c>
      <c r="V58" s="149"/>
      <c r="W58" s="150"/>
      <c r="X58" s="151"/>
      <c r="Y58" s="126" t="str">
        <f t="shared" si="29"/>
        <v>-</v>
      </c>
      <c r="Z58" s="126" t="str">
        <f t="shared" si="30"/>
        <v>-</v>
      </c>
    </row>
    <row r="59" spans="3:26" ht="17.399999999999999" x14ac:dyDescent="0.35">
      <c r="C59" s="56" t="s">
        <v>106</v>
      </c>
      <c r="D59" s="57">
        <f t="shared" si="31"/>
        <v>0</v>
      </c>
      <c r="E59" s="56">
        <v>31</v>
      </c>
      <c r="F59" s="58">
        <f t="shared" si="32"/>
        <v>5</v>
      </c>
      <c r="G59" s="58">
        <f t="shared" si="33"/>
        <v>2</v>
      </c>
      <c r="H59" s="59" t="str">
        <f t="shared" si="26"/>
        <v>T_01</v>
      </c>
      <c r="I59" s="59" t="str">
        <f t="shared" si="27"/>
        <v>T_04</v>
      </c>
      <c r="J59" s="59">
        <f t="shared" ref="J59" si="46">J54+1</f>
        <v>7</v>
      </c>
      <c r="K59" s="60">
        <f t="shared" si="34"/>
        <v>43839</v>
      </c>
      <c r="O59"/>
      <c r="P59"/>
      <c r="Q59" s="122">
        <v>31</v>
      </c>
      <c r="R59" s="122" t="str">
        <f t="shared" ca="1" si="35"/>
        <v>Assens</v>
      </c>
      <c r="S59" s="122" t="str">
        <f t="shared" ca="1" si="28"/>
        <v>Dragør</v>
      </c>
      <c r="T59" s="134"/>
      <c r="U59" s="123" t="s">
        <v>33</v>
      </c>
      <c r="V59" s="146"/>
      <c r="W59" s="147"/>
      <c r="X59" s="148"/>
      <c r="Y59" s="121" t="str">
        <f t="shared" si="29"/>
        <v>-</v>
      </c>
      <c r="Z59" s="121" t="str">
        <f t="shared" si="30"/>
        <v>-</v>
      </c>
    </row>
    <row r="60" spans="3:26" ht="17.399999999999999" x14ac:dyDescent="0.35">
      <c r="C60" s="56" t="s">
        <v>107</v>
      </c>
      <c r="D60" s="57">
        <f t="shared" si="31"/>
        <v>0</v>
      </c>
      <c r="E60" s="56">
        <v>32</v>
      </c>
      <c r="F60" s="58">
        <f t="shared" si="32"/>
        <v>4</v>
      </c>
      <c r="G60" s="58">
        <f t="shared" si="33"/>
        <v>6</v>
      </c>
      <c r="H60" s="59" t="str">
        <f t="shared" si="26"/>
        <v>T_05</v>
      </c>
      <c r="I60" s="59" t="str">
        <f t="shared" si="27"/>
        <v>T_03</v>
      </c>
      <c r="J60" s="59">
        <f t="shared" ref="J60" si="47">J59</f>
        <v>7</v>
      </c>
      <c r="K60" s="60">
        <f t="shared" si="34"/>
        <v>43839</v>
      </c>
      <c r="O60"/>
      <c r="P60"/>
      <c r="Q60" s="122">
        <v>32</v>
      </c>
      <c r="R60" s="122" t="str">
        <f t="shared" ca="1" si="35"/>
        <v>Ejby</v>
      </c>
      <c r="S60" s="122" t="str">
        <f t="shared" ca="1" si="28"/>
        <v>Christiansfelt</v>
      </c>
      <c r="T60" s="134"/>
      <c r="U60" s="123" t="str">
        <f t="shared" si="45"/>
        <v>-</v>
      </c>
      <c r="V60" s="146"/>
      <c r="W60" s="147"/>
      <c r="X60" s="148"/>
      <c r="Y60" s="121" t="str">
        <f t="shared" si="29"/>
        <v>-</v>
      </c>
      <c r="Z60" s="121" t="str">
        <f t="shared" si="30"/>
        <v>-</v>
      </c>
    </row>
    <row r="61" spans="3:26" ht="17.399999999999999" x14ac:dyDescent="0.35">
      <c r="C61" s="56" t="s">
        <v>108</v>
      </c>
      <c r="D61" s="57">
        <f t="shared" si="31"/>
        <v>0</v>
      </c>
      <c r="E61" s="56">
        <v>33</v>
      </c>
      <c r="F61" s="58">
        <f t="shared" si="32"/>
        <v>3</v>
      </c>
      <c r="G61" s="58">
        <f t="shared" si="33"/>
        <v>7</v>
      </c>
      <c r="H61" s="59" t="str">
        <f t="shared" ref="H61:H73" si="48">INDEX(HxA,G61,1)</f>
        <v>T_06</v>
      </c>
      <c r="I61" s="59" t="str">
        <f t="shared" ref="I61:I73" si="49">INDEX(HxA,1,F61)</f>
        <v>T_02</v>
      </c>
      <c r="J61" s="59">
        <f t="shared" si="40"/>
        <v>7</v>
      </c>
      <c r="K61" s="60">
        <f t="shared" si="34"/>
        <v>43839</v>
      </c>
      <c r="O61"/>
      <c r="P61"/>
      <c r="Q61" s="122">
        <v>33</v>
      </c>
      <c r="R61" s="122" t="str">
        <f t="shared" ca="1" si="35"/>
        <v>Fjerritslev</v>
      </c>
      <c r="S61" s="122" t="str">
        <f t="shared" ca="1" si="28"/>
        <v>Bogense</v>
      </c>
      <c r="T61" s="134"/>
      <c r="U61" s="123" t="str">
        <f t="shared" si="45"/>
        <v>-</v>
      </c>
      <c r="V61" s="146"/>
      <c r="W61" s="147"/>
      <c r="X61" s="148"/>
      <c r="Y61" s="121" t="str">
        <f t="shared" si="29"/>
        <v>-</v>
      </c>
      <c r="Z61" s="121" t="str">
        <f t="shared" si="30"/>
        <v>-</v>
      </c>
    </row>
    <row r="62" spans="3:26" ht="17.399999999999999" x14ac:dyDescent="0.35">
      <c r="C62" s="56" t="s">
        <v>109</v>
      </c>
      <c r="D62" s="57">
        <f t="shared" si="31"/>
        <v>0</v>
      </c>
      <c r="E62" s="56">
        <v>34</v>
      </c>
      <c r="F62" s="58">
        <f t="shared" si="32"/>
        <v>11</v>
      </c>
      <c r="G62" s="58">
        <f t="shared" si="33"/>
        <v>8</v>
      </c>
      <c r="H62" s="59" t="str">
        <f t="shared" si="48"/>
        <v>T_07</v>
      </c>
      <c r="I62" s="59" t="str">
        <f t="shared" si="49"/>
        <v>T_10</v>
      </c>
      <c r="J62" s="59">
        <f t="shared" si="40"/>
        <v>7</v>
      </c>
      <c r="K62" s="60">
        <f t="shared" si="34"/>
        <v>43839</v>
      </c>
      <c r="O62"/>
      <c r="P62"/>
      <c r="Q62" s="122">
        <v>34</v>
      </c>
      <c r="R62" s="122" t="str">
        <f t="shared" ca="1" si="35"/>
        <v>Glamsbjerg</v>
      </c>
      <c r="S62" s="122" t="str">
        <f t="shared" ca="1" si="28"/>
        <v>Jullerup</v>
      </c>
      <c r="T62" s="134"/>
      <c r="U62" s="123" t="str">
        <f t="shared" si="45"/>
        <v>-</v>
      </c>
      <c r="V62" s="146"/>
      <c r="W62" s="147"/>
      <c r="X62" s="148"/>
      <c r="Y62" s="121" t="str">
        <f t="shared" si="29"/>
        <v>-</v>
      </c>
      <c r="Z62" s="121" t="str">
        <f t="shared" si="30"/>
        <v>-</v>
      </c>
    </row>
    <row r="63" spans="3:26" ht="18" thickBot="1" x14ac:dyDescent="0.4">
      <c r="C63" s="56" t="s">
        <v>110</v>
      </c>
      <c r="D63" s="57">
        <f t="shared" si="31"/>
        <v>0</v>
      </c>
      <c r="E63" s="56">
        <v>35</v>
      </c>
      <c r="F63" s="58">
        <f t="shared" si="32"/>
        <v>10</v>
      </c>
      <c r="G63" s="58">
        <f t="shared" si="33"/>
        <v>9</v>
      </c>
      <c r="H63" s="59" t="str">
        <f t="shared" si="48"/>
        <v>T_08</v>
      </c>
      <c r="I63" s="59" t="str">
        <f t="shared" si="49"/>
        <v>T_09</v>
      </c>
      <c r="J63" s="59">
        <f t="shared" si="40"/>
        <v>7</v>
      </c>
      <c r="K63" s="60">
        <f t="shared" si="34"/>
        <v>43839</v>
      </c>
      <c r="O63"/>
      <c r="P63"/>
      <c r="Q63" s="124">
        <v>35</v>
      </c>
      <c r="R63" s="124" t="str">
        <f t="shared" ca="1" si="35"/>
        <v>Holeby</v>
      </c>
      <c r="S63" s="124" t="str">
        <f t="shared" ca="1" si="28"/>
        <v>Indre By</v>
      </c>
      <c r="T63" s="135"/>
      <c r="U63" s="125" t="str">
        <f t="shared" si="45"/>
        <v>-</v>
      </c>
      <c r="V63" s="149"/>
      <c r="W63" s="150"/>
      <c r="X63" s="151"/>
      <c r="Y63" s="126" t="str">
        <f t="shared" si="29"/>
        <v>-</v>
      </c>
      <c r="Z63" s="126" t="str">
        <f t="shared" si="30"/>
        <v>-</v>
      </c>
    </row>
    <row r="64" spans="3:26" ht="17.399999999999999" x14ac:dyDescent="0.35">
      <c r="C64" s="56" t="s">
        <v>111</v>
      </c>
      <c r="D64" s="57">
        <f t="shared" si="31"/>
        <v>0</v>
      </c>
      <c r="E64" s="56">
        <v>36</v>
      </c>
      <c r="F64" s="58">
        <f t="shared" si="32"/>
        <v>2</v>
      </c>
      <c r="G64" s="58">
        <f t="shared" si="33"/>
        <v>4</v>
      </c>
      <c r="H64" s="59" t="str">
        <f t="shared" si="48"/>
        <v>T_03</v>
      </c>
      <c r="I64" s="59" t="str">
        <f t="shared" si="49"/>
        <v>T_01</v>
      </c>
      <c r="J64" s="59">
        <f t="shared" ref="J64" si="50">J59+1</f>
        <v>8</v>
      </c>
      <c r="K64" s="60">
        <f t="shared" si="34"/>
        <v>43840</v>
      </c>
      <c r="O64"/>
      <c r="P64"/>
      <c r="Q64" s="122">
        <v>36</v>
      </c>
      <c r="R64" s="122" t="str">
        <f t="shared" ca="1" si="35"/>
        <v>Christiansfelt</v>
      </c>
      <c r="S64" s="122" t="str">
        <f t="shared" ca="1" si="28"/>
        <v>Assens</v>
      </c>
      <c r="T64" s="134"/>
      <c r="U64" s="123" t="s">
        <v>33</v>
      </c>
      <c r="V64" s="146"/>
      <c r="W64" s="147"/>
      <c r="X64" s="148"/>
      <c r="Y64" s="121" t="str">
        <f t="shared" si="29"/>
        <v>-</v>
      </c>
      <c r="Z64" s="121" t="str">
        <f t="shared" si="30"/>
        <v>-</v>
      </c>
    </row>
    <row r="65" spans="3:26" ht="17.399999999999999" x14ac:dyDescent="0.35">
      <c r="C65" s="56" t="s">
        <v>112</v>
      </c>
      <c r="D65" s="57">
        <f t="shared" si="31"/>
        <v>0</v>
      </c>
      <c r="E65" s="56">
        <v>37</v>
      </c>
      <c r="F65" s="58">
        <f t="shared" si="32"/>
        <v>3</v>
      </c>
      <c r="G65" s="58">
        <f t="shared" si="33"/>
        <v>5</v>
      </c>
      <c r="H65" s="59" t="str">
        <f t="shared" si="48"/>
        <v>T_04</v>
      </c>
      <c r="I65" s="59" t="str">
        <f t="shared" si="49"/>
        <v>T_02</v>
      </c>
      <c r="J65" s="59">
        <f t="shared" ref="J65" si="51">J64</f>
        <v>8</v>
      </c>
      <c r="K65" s="60">
        <f t="shared" si="34"/>
        <v>43840</v>
      </c>
      <c r="O65"/>
      <c r="P65"/>
      <c r="Q65" s="122">
        <v>37</v>
      </c>
      <c r="R65" s="122" t="str">
        <f t="shared" ca="1" si="35"/>
        <v>Dragør</v>
      </c>
      <c r="S65" s="122" t="str">
        <f t="shared" ca="1" si="28"/>
        <v>Bogense</v>
      </c>
      <c r="T65" s="134"/>
      <c r="U65" s="123" t="str">
        <f t="shared" si="45"/>
        <v>-</v>
      </c>
      <c r="V65" s="146"/>
      <c r="W65" s="147"/>
      <c r="X65" s="148"/>
      <c r="Y65" s="121" t="str">
        <f t="shared" si="29"/>
        <v>-</v>
      </c>
      <c r="Z65" s="121" t="str">
        <f t="shared" si="30"/>
        <v>-</v>
      </c>
    </row>
    <row r="66" spans="3:26" ht="17.399999999999999" x14ac:dyDescent="0.35">
      <c r="C66" s="56" t="s">
        <v>113</v>
      </c>
      <c r="D66" s="57">
        <f t="shared" si="31"/>
        <v>0</v>
      </c>
      <c r="E66" s="56">
        <v>38</v>
      </c>
      <c r="F66" s="58">
        <f t="shared" si="32"/>
        <v>11</v>
      </c>
      <c r="G66" s="58">
        <f t="shared" si="33"/>
        <v>6</v>
      </c>
      <c r="H66" s="59" t="str">
        <f t="shared" si="48"/>
        <v>T_05</v>
      </c>
      <c r="I66" s="59" t="str">
        <f t="shared" si="49"/>
        <v>T_10</v>
      </c>
      <c r="J66" s="59">
        <f t="shared" si="40"/>
        <v>8</v>
      </c>
      <c r="K66" s="60">
        <f t="shared" si="34"/>
        <v>43840</v>
      </c>
      <c r="O66"/>
      <c r="P66"/>
      <c r="Q66" s="122">
        <v>38</v>
      </c>
      <c r="R66" s="122" t="str">
        <f t="shared" ca="1" si="35"/>
        <v>Ejby</v>
      </c>
      <c r="S66" s="122" t="str">
        <f t="shared" ca="1" si="28"/>
        <v>Jullerup</v>
      </c>
      <c r="T66" s="134"/>
      <c r="U66" s="123" t="str">
        <f t="shared" si="45"/>
        <v>-</v>
      </c>
      <c r="V66" s="146"/>
      <c r="W66" s="147"/>
      <c r="X66" s="148"/>
      <c r="Y66" s="121" t="str">
        <f t="shared" si="29"/>
        <v>-</v>
      </c>
      <c r="Z66" s="121" t="str">
        <f t="shared" si="30"/>
        <v>-</v>
      </c>
    </row>
    <row r="67" spans="3:26" ht="17.399999999999999" x14ac:dyDescent="0.35">
      <c r="C67" s="56" t="s">
        <v>114</v>
      </c>
      <c r="D67" s="57">
        <f t="shared" si="31"/>
        <v>0</v>
      </c>
      <c r="E67" s="56">
        <v>39</v>
      </c>
      <c r="F67" s="58">
        <f t="shared" si="32"/>
        <v>10</v>
      </c>
      <c r="G67" s="58">
        <f t="shared" si="33"/>
        <v>7</v>
      </c>
      <c r="H67" s="59" t="str">
        <f t="shared" si="48"/>
        <v>T_06</v>
      </c>
      <c r="I67" s="59" t="str">
        <f t="shared" si="49"/>
        <v>T_09</v>
      </c>
      <c r="J67" s="59">
        <f t="shared" si="40"/>
        <v>8</v>
      </c>
      <c r="K67" s="60">
        <f t="shared" si="34"/>
        <v>43840</v>
      </c>
      <c r="O67"/>
      <c r="P67"/>
      <c r="Q67" s="122">
        <v>39</v>
      </c>
      <c r="R67" s="122" t="str">
        <f t="shared" ca="1" si="35"/>
        <v>Fjerritslev</v>
      </c>
      <c r="S67" s="122" t="str">
        <f t="shared" ca="1" si="28"/>
        <v>Indre By</v>
      </c>
      <c r="T67" s="134"/>
      <c r="U67" s="123" t="str">
        <f t="shared" si="45"/>
        <v>-</v>
      </c>
      <c r="V67" s="146"/>
      <c r="W67" s="147"/>
      <c r="X67" s="148"/>
      <c r="Y67" s="121" t="str">
        <f t="shared" si="29"/>
        <v>-</v>
      </c>
      <c r="Z67" s="121" t="str">
        <f t="shared" si="30"/>
        <v>-</v>
      </c>
    </row>
    <row r="68" spans="3:26" ht="18" thickBot="1" x14ac:dyDescent="0.4">
      <c r="C68" s="56" t="s">
        <v>115</v>
      </c>
      <c r="D68" s="57">
        <f t="shared" si="31"/>
        <v>0</v>
      </c>
      <c r="E68" s="56">
        <v>40</v>
      </c>
      <c r="F68" s="58">
        <f t="shared" si="32"/>
        <v>9</v>
      </c>
      <c r="G68" s="58">
        <f t="shared" si="33"/>
        <v>8</v>
      </c>
      <c r="H68" s="59" t="str">
        <f t="shared" si="48"/>
        <v>T_07</v>
      </c>
      <c r="I68" s="59" t="str">
        <f t="shared" si="49"/>
        <v>T_08</v>
      </c>
      <c r="J68" s="59">
        <f t="shared" si="40"/>
        <v>8</v>
      </c>
      <c r="K68" s="60">
        <f t="shared" si="34"/>
        <v>43840</v>
      </c>
      <c r="O68"/>
      <c r="P68"/>
      <c r="Q68" s="124">
        <v>40</v>
      </c>
      <c r="R68" s="124" t="str">
        <f t="shared" ca="1" si="35"/>
        <v>Glamsbjerg</v>
      </c>
      <c r="S68" s="124" t="str">
        <f t="shared" ca="1" si="28"/>
        <v>Holeby</v>
      </c>
      <c r="T68" s="135"/>
      <c r="U68" s="125" t="str">
        <f t="shared" si="45"/>
        <v>-</v>
      </c>
      <c r="V68" s="149"/>
      <c r="W68" s="150"/>
      <c r="X68" s="151"/>
      <c r="Y68" s="126" t="str">
        <f t="shared" si="29"/>
        <v>-</v>
      </c>
      <c r="Z68" s="126" t="str">
        <f t="shared" si="30"/>
        <v>-</v>
      </c>
    </row>
    <row r="69" spans="3:26" ht="17.399999999999999" x14ac:dyDescent="0.35">
      <c r="C69" s="56" t="s">
        <v>116</v>
      </c>
      <c r="D69" s="57">
        <f t="shared" si="31"/>
        <v>0</v>
      </c>
      <c r="E69" s="56">
        <v>41</v>
      </c>
      <c r="F69" s="58">
        <f t="shared" si="32"/>
        <v>3</v>
      </c>
      <c r="G69" s="58">
        <f t="shared" si="33"/>
        <v>2</v>
      </c>
      <c r="H69" s="59" t="str">
        <f t="shared" si="48"/>
        <v>T_01</v>
      </c>
      <c r="I69" s="59" t="str">
        <f t="shared" si="49"/>
        <v>T_02</v>
      </c>
      <c r="J69" s="59">
        <f t="shared" ref="J69" si="52">J64+1</f>
        <v>9</v>
      </c>
      <c r="K69" s="60">
        <f t="shared" si="34"/>
        <v>43841</v>
      </c>
      <c r="O69"/>
      <c r="P69"/>
      <c r="Q69" s="122">
        <v>41</v>
      </c>
      <c r="R69" s="122" t="str">
        <f t="shared" ca="1" si="35"/>
        <v>Assens</v>
      </c>
      <c r="S69" s="122" t="str">
        <f t="shared" ca="1" si="28"/>
        <v>Bogense</v>
      </c>
      <c r="T69" s="134"/>
      <c r="U69" s="123" t="s">
        <v>33</v>
      </c>
      <c r="V69" s="146"/>
      <c r="W69" s="147"/>
      <c r="X69" s="148"/>
      <c r="Y69" s="121" t="str">
        <f t="shared" si="29"/>
        <v>-</v>
      </c>
      <c r="Z69" s="121" t="str">
        <f t="shared" si="30"/>
        <v>-</v>
      </c>
    </row>
    <row r="70" spans="3:26" ht="17.399999999999999" x14ac:dyDescent="0.35">
      <c r="C70" s="56" t="s">
        <v>117</v>
      </c>
      <c r="D70" s="57">
        <f t="shared" si="31"/>
        <v>0</v>
      </c>
      <c r="E70" s="56">
        <v>42</v>
      </c>
      <c r="F70" s="58">
        <f t="shared" si="32"/>
        <v>11</v>
      </c>
      <c r="G70" s="58">
        <f t="shared" si="33"/>
        <v>4</v>
      </c>
      <c r="H70" s="59" t="str">
        <f t="shared" si="48"/>
        <v>T_03</v>
      </c>
      <c r="I70" s="59" t="str">
        <f t="shared" si="49"/>
        <v>T_10</v>
      </c>
      <c r="J70" s="59">
        <f t="shared" ref="J70" si="53">J69</f>
        <v>9</v>
      </c>
      <c r="K70" s="60">
        <f t="shared" si="34"/>
        <v>43841</v>
      </c>
      <c r="O70"/>
      <c r="P70"/>
      <c r="Q70" s="122">
        <v>42</v>
      </c>
      <c r="R70" s="122" t="str">
        <f t="shared" ca="1" si="35"/>
        <v>Christiansfelt</v>
      </c>
      <c r="S70" s="122" t="str">
        <f t="shared" ca="1" si="28"/>
        <v>Jullerup</v>
      </c>
      <c r="T70" s="134"/>
      <c r="U70" s="123" t="str">
        <f t="shared" si="45"/>
        <v>-</v>
      </c>
      <c r="V70" s="146"/>
      <c r="W70" s="147"/>
      <c r="X70" s="148"/>
      <c r="Y70" s="121" t="str">
        <f>IF(
   ISNUMBER(W70) * ISNUMBER(X70),
      IF(W70&gt;X70,  ptv,
         IF(W70=X70,  ptu,  ptt)),
"-")</f>
        <v>-</v>
      </c>
      <c r="Z70" s="121" t="str">
        <f t="shared" si="30"/>
        <v>-</v>
      </c>
    </row>
    <row r="71" spans="3:26" ht="17.399999999999999" x14ac:dyDescent="0.35">
      <c r="C71" s="56" t="s">
        <v>118</v>
      </c>
      <c r="D71" s="57">
        <f t="shared" si="31"/>
        <v>0</v>
      </c>
      <c r="E71" s="56">
        <v>43</v>
      </c>
      <c r="F71" s="58">
        <f t="shared" si="32"/>
        <v>10</v>
      </c>
      <c r="G71" s="58">
        <f t="shared" si="33"/>
        <v>5</v>
      </c>
      <c r="H71" s="59" t="str">
        <f t="shared" si="48"/>
        <v>T_04</v>
      </c>
      <c r="I71" s="59" t="str">
        <f t="shared" si="49"/>
        <v>T_09</v>
      </c>
      <c r="J71" s="59">
        <f t="shared" si="40"/>
        <v>9</v>
      </c>
      <c r="K71" s="60">
        <f t="shared" si="34"/>
        <v>43841</v>
      </c>
      <c r="O71"/>
      <c r="P71"/>
      <c r="Q71" s="122">
        <v>43</v>
      </c>
      <c r="R71" s="122" t="str">
        <f t="shared" ca="1" si="35"/>
        <v>Dragør</v>
      </c>
      <c r="S71" s="122" t="str">
        <f t="shared" ca="1" si="28"/>
        <v>Indre By</v>
      </c>
      <c r="T71" s="134"/>
      <c r="U71" s="123" t="str">
        <f t="shared" si="45"/>
        <v>-</v>
      </c>
      <c r="V71" s="146"/>
      <c r="W71" s="147"/>
      <c r="X71" s="148"/>
      <c r="Y71" s="121" t="str">
        <f t="shared" si="29"/>
        <v>-</v>
      </c>
      <c r="Z71" s="121" t="str">
        <f t="shared" si="30"/>
        <v>-</v>
      </c>
    </row>
    <row r="72" spans="3:26" ht="17.399999999999999" x14ac:dyDescent="0.35">
      <c r="C72" s="56" t="s">
        <v>119</v>
      </c>
      <c r="D72" s="57">
        <f t="shared" si="31"/>
        <v>0</v>
      </c>
      <c r="E72" s="56">
        <v>44</v>
      </c>
      <c r="F72" s="58">
        <f t="shared" si="32"/>
        <v>9</v>
      </c>
      <c r="G72" s="58">
        <f t="shared" si="33"/>
        <v>6</v>
      </c>
      <c r="H72" s="59" t="str">
        <f t="shared" si="48"/>
        <v>T_05</v>
      </c>
      <c r="I72" s="59" t="str">
        <f t="shared" si="49"/>
        <v>T_08</v>
      </c>
      <c r="J72" s="59">
        <f t="shared" si="40"/>
        <v>9</v>
      </c>
      <c r="K72" s="60">
        <f t="shared" si="34"/>
        <v>43841</v>
      </c>
      <c r="O72"/>
      <c r="P72"/>
      <c r="Q72" s="122">
        <v>44</v>
      </c>
      <c r="R72" s="122" t="str">
        <f t="shared" ca="1" si="35"/>
        <v>Ejby</v>
      </c>
      <c r="S72" s="122" t="str">
        <f t="shared" ca="1" si="28"/>
        <v>Holeby</v>
      </c>
      <c r="T72" s="134"/>
      <c r="U72" s="123" t="str">
        <f t="shared" si="45"/>
        <v>-</v>
      </c>
      <c r="V72" s="146"/>
      <c r="W72" s="147"/>
      <c r="X72" s="148"/>
      <c r="Y72" s="121" t="str">
        <f t="shared" si="29"/>
        <v>-</v>
      </c>
      <c r="Z72" s="121" t="str">
        <f t="shared" si="30"/>
        <v>-</v>
      </c>
    </row>
    <row r="73" spans="3:26" ht="18" thickBot="1" x14ac:dyDescent="0.4">
      <c r="C73" s="56" t="s">
        <v>120</v>
      </c>
      <c r="D73" s="57">
        <f t="shared" si="31"/>
        <v>0</v>
      </c>
      <c r="E73" s="56">
        <v>45</v>
      </c>
      <c r="F73" s="58">
        <f t="shared" si="32"/>
        <v>8</v>
      </c>
      <c r="G73" s="58">
        <f t="shared" si="33"/>
        <v>7</v>
      </c>
      <c r="H73" s="59" t="str">
        <f t="shared" si="48"/>
        <v>T_06</v>
      </c>
      <c r="I73" s="59" t="str">
        <f t="shared" si="49"/>
        <v>T_07</v>
      </c>
      <c r="J73" s="59">
        <f t="shared" si="40"/>
        <v>9</v>
      </c>
      <c r="K73" s="60">
        <f t="shared" si="34"/>
        <v>43841</v>
      </c>
      <c r="O73"/>
      <c r="P73"/>
      <c r="Q73" s="124">
        <v>45</v>
      </c>
      <c r="R73" s="124" t="str">
        <f t="shared" ca="1" si="35"/>
        <v>Fjerritslev</v>
      </c>
      <c r="S73" s="124" t="str">
        <f t="shared" ca="1" si="28"/>
        <v>Glamsbjerg</v>
      </c>
      <c r="T73" s="136"/>
      <c r="U73" s="137" t="str">
        <f t="shared" si="45"/>
        <v>-</v>
      </c>
      <c r="V73" s="155"/>
      <c r="W73" s="156"/>
      <c r="X73" s="157"/>
      <c r="Y73" s="126" t="str">
        <f t="shared" si="29"/>
        <v>-</v>
      </c>
      <c r="Z73" s="126" t="str">
        <f t="shared" si="30"/>
        <v>-</v>
      </c>
    </row>
    <row r="74" spans="3:26" ht="7.95" customHeight="1" thickBot="1" x14ac:dyDescent="0.25">
      <c r="H74" s="19" t="s">
        <v>34</v>
      </c>
      <c r="I74" s="19" t="s">
        <v>35</v>
      </c>
      <c r="J74" s="19"/>
      <c r="K74" s="38"/>
      <c r="O74"/>
      <c r="P74"/>
      <c r="R74" s="92"/>
      <c r="S74" s="92"/>
      <c r="T74" s="92"/>
      <c r="U74" s="132"/>
      <c r="V74" s="5"/>
      <c r="W74" s="5"/>
      <c r="X74" s="133"/>
    </row>
    <row r="75" spans="3:26" ht="18" thickBot="1" x14ac:dyDescent="0.4">
      <c r="H75" s="20" t="str">
        <f>IF(ISNUMBER(W75),IF(W75&gt;X75,R75,S75),"")</f>
        <v/>
      </c>
      <c r="I75" s="20" t="str">
        <f>IF(ISNUMBER(W75),IF(H75=R75,S75,R75),"")</f>
        <v/>
      </c>
      <c r="J75" s="43">
        <f>J73+1</f>
        <v>10</v>
      </c>
      <c r="K75" s="17">
        <f>$K$29+J75</f>
        <v>43842</v>
      </c>
      <c r="O75"/>
      <c r="P75"/>
      <c r="Q75" s="89" t="s">
        <v>64</v>
      </c>
      <c r="R75" s="90" t="s">
        <v>14</v>
      </c>
      <c r="S75" s="90" t="s">
        <v>58</v>
      </c>
      <c r="T75" s="174"/>
      <c r="U75" s="175"/>
      <c r="V75" s="176"/>
      <c r="W75" s="177"/>
      <c r="X75" s="178"/>
      <c r="Y75" s="21" t="str">
        <f t="shared" ref="Y75" si="54">IF(ISNUMBER(W75)*ISNUMBER(X75),IF(W75&gt;X75,ptv, IF(W75=X75,ptu,ptt)),"-")</f>
        <v>-</v>
      </c>
      <c r="Z75" s="21" t="str">
        <f t="shared" ref="Z75" si="55">IF(ISNUMBER(W75)*ISNUMBER(X75),IF(Y75=ptv,ptt,IF(Y75=ptu,ptu,ptv)),"-")</f>
        <v>-</v>
      </c>
    </row>
    <row r="76" spans="3:26" ht="5.4" customHeight="1" thickBot="1" x14ac:dyDescent="0.25">
      <c r="H76" s="19" t="s">
        <v>36</v>
      </c>
      <c r="I76" s="19" t="s">
        <v>37</v>
      </c>
      <c r="J76" s="19"/>
      <c r="K76" s="38"/>
      <c r="O76"/>
      <c r="P76"/>
      <c r="R76" s="92"/>
      <c r="S76" s="92"/>
      <c r="T76" s="92"/>
      <c r="U76" s="5"/>
      <c r="V76" s="5"/>
      <c r="W76" s="5"/>
      <c r="X76" s="94"/>
    </row>
    <row r="77" spans="3:26" ht="18" thickBot="1" x14ac:dyDescent="0.4">
      <c r="H77" s="20" t="str">
        <f>IF(ISNUMBER(W77),IF(W77&gt;X77,R77,S77),"")</f>
        <v/>
      </c>
      <c r="I77" s="20" t="str">
        <f>IF(ISNUMBER(W77),IF(H77=R77,S77,R77),"")</f>
        <v/>
      </c>
      <c r="J77" s="43">
        <f>J75</f>
        <v>10</v>
      </c>
      <c r="K77" s="17">
        <f>$K$29+J77</f>
        <v>43842</v>
      </c>
      <c r="O77"/>
      <c r="P77"/>
      <c r="Q77" s="88" t="s">
        <v>175</v>
      </c>
      <c r="R77" s="90" t="s">
        <v>16</v>
      </c>
      <c r="S77" s="90" t="s">
        <v>15</v>
      </c>
      <c r="T77" s="174"/>
      <c r="U77" s="175"/>
      <c r="V77" s="176"/>
      <c r="W77" s="177"/>
      <c r="X77" s="178"/>
      <c r="Y77" s="21" t="str">
        <f t="shared" ref="Y77" si="56">IF(ISNUMBER(W77)*ISNUMBER(X77),IF(W77&gt;X77,ptv, IF(W77=X77,ptu,ptt)),"-")</f>
        <v>-</v>
      </c>
      <c r="Z77" s="21" t="str">
        <f t="shared" ref="Z77" si="57">IF(ISNUMBER(W77)*ISNUMBER(X77),IF(Y77=ptv,ptt,IF(Y77=ptu,ptu,ptv)),"-")</f>
        <v>-</v>
      </c>
    </row>
  </sheetData>
  <sheetProtection sheet="1" objects="1" scenarios="1"/>
  <conditionalFormatting sqref="D30:D31">
    <cfRule type="expression" dxfId="11" priority="6">
      <formula>D30=1</formula>
    </cfRule>
  </conditionalFormatting>
  <conditionalFormatting sqref="B17:K26">
    <cfRule type="duplicateValues" dxfId="10" priority="4"/>
    <cfRule type="expression" dxfId="9" priority="5">
      <formula>AND(MOD(B17,2)=0,ISNUMBER(B17))</formula>
    </cfRule>
  </conditionalFormatting>
  <conditionalFormatting sqref="D32:D73">
    <cfRule type="expression" dxfId="8" priority="3">
      <formula>D32=1</formula>
    </cfRule>
  </conditionalFormatting>
  <conditionalFormatting sqref="L3:L12">
    <cfRule type="duplicateValues" dxfId="7" priority="2"/>
  </conditionalFormatting>
  <conditionalFormatting sqref="M3:M12">
    <cfRule type="duplicateValues" dxfId="6" priority="1"/>
  </conditionalFormatting>
  <dataValidations disablePrompts="1" count="1">
    <dataValidation type="list" allowBlank="1" showInputMessage="1" showErrorMessage="1" sqref="R75:S75 R77:S77" xr:uid="{00000000-0002-0000-1200-000000000000}">
      <formula1>teams</formula1>
    </dataValidation>
  </dataValidations>
  <printOptions horizontalCentered="1"/>
  <pageMargins left="0.78740157480314965" right="0.59055118110236227" top="0.39370078740157483" bottom="0.39370078740157483" header="0.19685039370078741" footer="0.19685039370078741"/>
  <pageSetup paperSize="9" scale="70" fitToHeight="2" orientation="portrait" verticalDpi="300" r:id="rId1"/>
  <headerFooter>
    <oddFooter>&amp;L&amp;D&amp;R&amp;P/&amp;N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02">
    <outlinePr showOutlineSymbols="0"/>
  </sheetPr>
  <dimension ref="A1:E30"/>
  <sheetViews>
    <sheetView showGridLines="0" showRowColHeaders="0" showOutlineSymbols="0" topLeftCell="A2" zoomScaleNormal="100" workbookViewId="0">
      <selection activeCell="B10" sqref="B10:C10"/>
    </sheetView>
  </sheetViews>
  <sheetFormatPr defaultColWidth="9" defaultRowHeight="12.6" x14ac:dyDescent="0.2"/>
  <cols>
    <col min="1" max="2" width="3.36328125" customWidth="1"/>
    <col min="3" max="3" width="33.7265625" customWidth="1"/>
    <col min="4" max="4" width="10.36328125" customWidth="1"/>
    <col min="5" max="5" width="4.7265625" customWidth="1"/>
  </cols>
  <sheetData>
    <row r="1" spans="1:5" hidden="1" x14ac:dyDescent="0.2">
      <c r="D1" s="145">
        <f>1/(24*(60/D7))</f>
        <v>3.8194444444444448E-2</v>
      </c>
    </row>
    <row r="3" spans="1:5" ht="18" thickBot="1" x14ac:dyDescent="0.35">
      <c r="A3" s="108"/>
      <c r="B3" s="116" t="s">
        <v>51</v>
      </c>
      <c r="C3" s="115"/>
      <c r="D3" s="115"/>
      <c r="E3" s="115"/>
    </row>
    <row r="4" spans="1:5" ht="18" thickBot="1" x14ac:dyDescent="0.25">
      <c r="B4" s="1" t="s">
        <v>61</v>
      </c>
      <c r="C4" s="1"/>
      <c r="D4" s="117">
        <v>3</v>
      </c>
      <c r="E4" s="41"/>
    </row>
    <row r="5" spans="1:5" ht="18" thickBot="1" x14ac:dyDescent="0.25">
      <c r="B5" s="1" t="s">
        <v>62</v>
      </c>
      <c r="C5" s="1"/>
      <c r="D5" s="117">
        <v>1</v>
      </c>
      <c r="E5" s="41"/>
    </row>
    <row r="6" spans="1:5" ht="18" thickBot="1" x14ac:dyDescent="0.25">
      <c r="B6" s="1" t="s">
        <v>63</v>
      </c>
      <c r="C6" s="1"/>
      <c r="D6" s="117">
        <v>0</v>
      </c>
      <c r="E6" s="41"/>
    </row>
    <row r="7" spans="1:5" ht="18" thickBot="1" x14ac:dyDescent="0.25">
      <c r="B7" s="1" t="s">
        <v>199</v>
      </c>
      <c r="C7" s="1"/>
      <c r="D7" s="118">
        <v>55</v>
      </c>
      <c r="E7" s="41" t="s">
        <v>1</v>
      </c>
    </row>
    <row r="9" spans="1:5" ht="18" thickBot="1" x14ac:dyDescent="0.35">
      <c r="A9" s="108"/>
      <c r="B9" s="109" t="s">
        <v>197</v>
      </c>
      <c r="C9" s="109"/>
    </row>
    <row r="10" spans="1:5" ht="18" thickBot="1" x14ac:dyDescent="0.35">
      <c r="A10" s="108"/>
      <c r="B10" s="218" t="s">
        <v>223</v>
      </c>
      <c r="C10" s="218"/>
    </row>
    <row r="13" spans="1:5" ht="18" thickBot="1" x14ac:dyDescent="0.35">
      <c r="A13" s="108"/>
      <c r="B13" s="109" t="s">
        <v>180</v>
      </c>
      <c r="C13" s="109"/>
    </row>
    <row r="14" spans="1:5" ht="18" thickBot="1" x14ac:dyDescent="0.35">
      <c r="A14" s="108"/>
      <c r="B14" s="112">
        <v>1</v>
      </c>
      <c r="C14" s="216" t="s">
        <v>11</v>
      </c>
    </row>
    <row r="15" spans="1:5" ht="18" thickBot="1" x14ac:dyDescent="0.35">
      <c r="A15" s="108"/>
      <c r="B15" s="112">
        <v>2</v>
      </c>
      <c r="C15" s="216" t="s">
        <v>12</v>
      </c>
    </row>
    <row r="16" spans="1:5" ht="18" thickBot="1" x14ac:dyDescent="0.35">
      <c r="A16" s="108"/>
      <c r="B16" s="112">
        <v>3</v>
      </c>
      <c r="C16" s="216" t="s">
        <v>13</v>
      </c>
    </row>
    <row r="17" spans="1:3" ht="18" thickBot="1" x14ac:dyDescent="0.35">
      <c r="A17" s="108"/>
      <c r="B17" s="112">
        <v>4</v>
      </c>
      <c r="C17" s="216" t="s">
        <v>14</v>
      </c>
    </row>
    <row r="18" spans="1:3" ht="18" thickBot="1" x14ac:dyDescent="0.35">
      <c r="A18" s="108"/>
      <c r="B18" s="112">
        <v>5</v>
      </c>
      <c r="C18" s="216" t="s">
        <v>15</v>
      </c>
    </row>
    <row r="19" spans="1:3" ht="18" thickBot="1" x14ac:dyDescent="0.35">
      <c r="A19" s="108"/>
      <c r="B19" s="112">
        <v>6</v>
      </c>
      <c r="C19" s="216" t="s">
        <v>16</v>
      </c>
    </row>
    <row r="20" spans="1:3" ht="18" thickBot="1" x14ac:dyDescent="0.35">
      <c r="A20" s="108"/>
      <c r="B20" s="112">
        <v>7</v>
      </c>
      <c r="C20" s="216" t="s">
        <v>57</v>
      </c>
    </row>
    <row r="21" spans="1:3" ht="18" thickBot="1" x14ac:dyDescent="0.35">
      <c r="A21" s="108"/>
      <c r="B21" s="112">
        <v>8</v>
      </c>
      <c r="C21" s="216" t="s">
        <v>58</v>
      </c>
    </row>
    <row r="22" spans="1:3" ht="18" thickBot="1" x14ac:dyDescent="0.35">
      <c r="A22" s="108"/>
      <c r="B22" s="112">
        <v>9</v>
      </c>
      <c r="C22" s="216" t="s">
        <v>59</v>
      </c>
    </row>
    <row r="23" spans="1:3" ht="18" thickBot="1" x14ac:dyDescent="0.35">
      <c r="A23" s="108"/>
      <c r="B23" s="112">
        <v>10</v>
      </c>
      <c r="C23" s="216" t="s">
        <v>60</v>
      </c>
    </row>
    <row r="25" spans="1:3" ht="16.2" x14ac:dyDescent="0.35">
      <c r="B25" s="2" t="s">
        <v>190</v>
      </c>
      <c r="C25" s="2"/>
    </row>
    <row r="26" spans="1:3" ht="17.399999999999999" x14ac:dyDescent="0.3">
      <c r="A26" s="108"/>
      <c r="B26" s="113">
        <v>1</v>
      </c>
      <c r="C26" s="110" t="s">
        <v>177</v>
      </c>
    </row>
    <row r="27" spans="1:3" ht="17.399999999999999" x14ac:dyDescent="0.3">
      <c r="A27" s="108"/>
      <c r="B27" s="113">
        <v>2</v>
      </c>
      <c r="C27" s="110" t="s">
        <v>191</v>
      </c>
    </row>
    <row r="28" spans="1:3" ht="17.399999999999999" x14ac:dyDescent="0.3">
      <c r="A28" s="108"/>
      <c r="B28" s="113">
        <v>3</v>
      </c>
      <c r="C28" s="110" t="s">
        <v>187</v>
      </c>
    </row>
    <row r="29" spans="1:3" ht="17.399999999999999" x14ac:dyDescent="0.3">
      <c r="A29" s="108"/>
      <c r="B29" s="114">
        <v>4</v>
      </c>
      <c r="C29" s="111" t="s">
        <v>188</v>
      </c>
    </row>
    <row r="30" spans="1:3" ht="17.399999999999999" x14ac:dyDescent="0.3">
      <c r="A30" s="108"/>
      <c r="B30" s="114">
        <v>5</v>
      </c>
      <c r="C30" s="111" t="s">
        <v>189</v>
      </c>
    </row>
  </sheetData>
  <sheetProtection sheet="1" objects="1" scenarios="1"/>
  <mergeCells count="1">
    <mergeCell ref="B10:C10"/>
  </mergeCells>
  <pageMargins left="0.7" right="0.7" top="0.75" bottom="0.75" header="0.3" footer="0.3"/>
  <pageSetup paperSize="9" orientation="portrait" horizontalDpi="4294967294"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grp10x2">
    <tabColor theme="3"/>
    <outlinePr showOutlineSymbols="0"/>
  </sheetPr>
  <dimension ref="A1:Z122"/>
  <sheetViews>
    <sheetView showGridLines="0" showRowColHeaders="0" showOutlineSymbols="0" zoomScaleNormal="100" zoomScaleSheetLayoutView="70" workbookViewId="0">
      <pane ySplit="28" topLeftCell="A29" activePane="bottomLeft" state="frozen"/>
      <selection activeCell="L43" sqref="L43"/>
      <selection pane="bottomLeft" activeCell="P29" sqref="P29"/>
    </sheetView>
  </sheetViews>
  <sheetFormatPr defaultColWidth="9" defaultRowHeight="12.6" outlineLevelRow="1" outlineLevelCol="1" x14ac:dyDescent="0.2"/>
  <cols>
    <col min="1" max="1" width="10.90625" hidden="1" customWidth="1" outlineLevel="1"/>
    <col min="2" max="11" width="9" hidden="1" customWidth="1" outlineLevel="1"/>
    <col min="12" max="12" width="9.26953125" hidden="1" customWidth="1" outlineLevel="1"/>
    <col min="13" max="15" width="3.6328125" hidden="1" customWidth="1" outlineLevel="1"/>
    <col min="16" max="16" width="3.90625" style="13" customWidth="1" collapsed="1"/>
    <col min="17" max="17" width="6" style="13" customWidth="1"/>
    <col min="18" max="19" width="20.453125" style="13" customWidth="1"/>
    <col min="20" max="20" width="9.6328125" style="13" customWidth="1"/>
    <col min="21" max="21" width="8.6328125" customWidth="1"/>
    <col min="22" max="22" width="8.453125" customWidth="1"/>
    <col min="23" max="26" width="6.26953125" customWidth="1"/>
  </cols>
  <sheetData>
    <row r="1" spans="1:26" hidden="1" outlineLevel="1" x14ac:dyDescent="0.2">
      <c r="A1" t="s">
        <v>201</v>
      </c>
      <c r="C1" t="s">
        <v>179</v>
      </c>
      <c r="G1" t="s">
        <v>186</v>
      </c>
      <c r="L1" t="s">
        <v>192</v>
      </c>
    </row>
    <row r="2" spans="1:26"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6" hidden="1" outlineLevel="1" x14ac:dyDescent="0.2">
      <c r="A3" s="103">
        <v>1</v>
      </c>
      <c r="B3" s="103" t="str">
        <f t="shared" ref="B3:B12" si="0">INDEX(xTeams,A3,1)</f>
        <v>Assens</v>
      </c>
      <c r="C3" s="96">
        <f t="shared" ref="C3" ca="1" si="1">SUMIF(team1,teams,goals1)+SUMIF(team2,teams,goals2)</f>
        <v>0</v>
      </c>
      <c r="D3" s="96">
        <f t="shared" ref="D3" ca="1" si="2">SUMIF(team1,teams,goals2)+SUMIF(team2,teams,goals1)</f>
        <v>0</v>
      </c>
      <c r="E3" s="104">
        <f t="shared" ref="E3:E12" ca="1" si="3">SUMIFS(
   points1,team1,teams
) +
  SUMIFS(points2,team2,teams)</f>
        <v>0</v>
      </c>
      <c r="F3" s="96">
        <f t="shared" ref="F3:F12" ca="1" si="4">C3-D3</f>
        <v>0</v>
      </c>
      <c r="G3" s="96">
        <f t="shared" ref="G3:G12" ca="1" si="5">COUNTIFS(team1,$B3,points1,"&gt;=0")+COUNTIFS(team2,$B3,points2,"&gt;=0")</f>
        <v>0</v>
      </c>
      <c r="H3" s="105">
        <f ca="1">IF(G3=0,1,0)</f>
        <v>1</v>
      </c>
      <c r="I3" s="105">
        <f ca="1">RANK($E3,$E$3:$E$12,0)-1</f>
        <v>0</v>
      </c>
      <c r="J3" s="98">
        <f ca="1">(RANK($F3,$F$3:$F$12,0)/10)-0.1</f>
        <v>0</v>
      </c>
      <c r="K3" s="99">
        <f ca="1">(RANK($C3,$C$3:$C$12,0)/100)-0.01</f>
        <v>0</v>
      </c>
      <c r="L3" s="99">
        <f ca="1">SUM(H3:K3)</f>
        <v>1</v>
      </c>
      <c r="M3" s="96">
        <f ca="1">RANK($L3,$L$3:$L$12,1) + COUNTIF($L$3:$L3,$L3)-1</f>
        <v>1</v>
      </c>
    </row>
    <row r="4" spans="1:26" hidden="1" outlineLevel="1" x14ac:dyDescent="0.2">
      <c r="A4" s="103">
        <v>2</v>
      </c>
      <c r="B4" s="103" t="str">
        <f t="shared" si="0"/>
        <v>Bogense</v>
      </c>
      <c r="C4" s="96">
        <f t="shared" ref="C4:C12" ca="1" si="6">SUMIF(team1,teams,goals1)+SUMIF(team2,teams,goals2)</f>
        <v>0</v>
      </c>
      <c r="D4" s="96">
        <f t="shared" ref="D4:D12" ca="1" si="7">SUMIF(team1,teams,goals2)+SUMIF(team2,teams,goals1)</f>
        <v>0</v>
      </c>
      <c r="E4" s="104">
        <f t="shared" ca="1" si="3"/>
        <v>0</v>
      </c>
      <c r="F4" s="96">
        <f t="shared" ca="1" si="4"/>
        <v>0</v>
      </c>
      <c r="G4" s="96">
        <f t="shared" ca="1" si="5"/>
        <v>0</v>
      </c>
      <c r="H4" s="105">
        <f t="shared" ref="H4:H12" ca="1" si="8">IF(G4=0,1,0)</f>
        <v>1</v>
      </c>
      <c r="I4" s="105">
        <f t="shared" ref="I4:I12" ca="1" si="9">RANK($E4,$E$3:$E$12,0)-1</f>
        <v>0</v>
      </c>
      <c r="J4" s="98">
        <f t="shared" ref="J4:J12" ca="1" si="10">(RANK($F4,$F$3:$F$12,0)/10)-0.1</f>
        <v>0</v>
      </c>
      <c r="K4" s="99">
        <f t="shared" ref="K4:K12" ca="1" si="11">(RANK($C4,$C$3:$C$12,0)/100)-0.01</f>
        <v>0</v>
      </c>
      <c r="L4" s="99">
        <f t="shared" ref="L4:L12" ca="1" si="12">SUM(H4:K4)</f>
        <v>1</v>
      </c>
      <c r="M4" s="96">
        <f ca="1">RANK($L4,$L$3:$L$12,1) + COUNTIF($L$3:$L4,$L4)-1</f>
        <v>2</v>
      </c>
    </row>
    <row r="5" spans="1:26" hidden="1" outlineLevel="1" x14ac:dyDescent="0.2">
      <c r="A5" s="103">
        <v>3</v>
      </c>
      <c r="B5" s="103" t="str">
        <f t="shared" si="0"/>
        <v>Christiansfelt</v>
      </c>
      <c r="C5" s="96">
        <f t="shared" ca="1" si="6"/>
        <v>0</v>
      </c>
      <c r="D5" s="96">
        <f t="shared" ca="1" si="7"/>
        <v>0</v>
      </c>
      <c r="E5" s="104">
        <f t="shared" ca="1" si="3"/>
        <v>0</v>
      </c>
      <c r="F5" s="96">
        <f t="shared" ca="1" si="4"/>
        <v>0</v>
      </c>
      <c r="G5" s="96">
        <f t="shared" ca="1" si="5"/>
        <v>0</v>
      </c>
      <c r="H5" s="105">
        <f t="shared" ca="1" si="8"/>
        <v>1</v>
      </c>
      <c r="I5" s="105">
        <f t="shared" ca="1" si="9"/>
        <v>0</v>
      </c>
      <c r="J5" s="98">
        <f t="shared" ca="1" si="10"/>
        <v>0</v>
      </c>
      <c r="K5" s="99">
        <f t="shared" ca="1" si="11"/>
        <v>0</v>
      </c>
      <c r="L5" s="99">
        <f t="shared" ca="1" si="12"/>
        <v>1</v>
      </c>
      <c r="M5" s="96">
        <f ca="1">RANK($L5,$L$3:$L$12,1) + COUNTIF($L$3:$L5,$L5)-1</f>
        <v>3</v>
      </c>
    </row>
    <row r="6" spans="1:26" hidden="1" outlineLevel="1" x14ac:dyDescent="0.2">
      <c r="A6" s="103">
        <v>4</v>
      </c>
      <c r="B6" s="103" t="str">
        <f t="shared" si="0"/>
        <v>Dragør</v>
      </c>
      <c r="C6" s="96">
        <f t="shared" ca="1" si="6"/>
        <v>0</v>
      </c>
      <c r="D6" s="96">
        <f t="shared" ca="1" si="7"/>
        <v>0</v>
      </c>
      <c r="E6" s="104">
        <f t="shared" ca="1" si="3"/>
        <v>0</v>
      </c>
      <c r="F6" s="96">
        <f t="shared" ca="1" si="4"/>
        <v>0</v>
      </c>
      <c r="G6" s="96">
        <f t="shared" ca="1" si="5"/>
        <v>0</v>
      </c>
      <c r="H6" s="105">
        <f t="shared" ca="1" si="8"/>
        <v>1</v>
      </c>
      <c r="I6" s="105">
        <f t="shared" ca="1" si="9"/>
        <v>0</v>
      </c>
      <c r="J6" s="98">
        <f t="shared" ca="1" si="10"/>
        <v>0</v>
      </c>
      <c r="K6" s="99">
        <f t="shared" ca="1" si="11"/>
        <v>0</v>
      </c>
      <c r="L6" s="99">
        <f t="shared" ca="1" si="12"/>
        <v>1</v>
      </c>
      <c r="M6" s="96">
        <f ca="1">RANK($L6,$L$3:$L$12,1) + COUNTIF($L$3:$L6,$L6)-1</f>
        <v>4</v>
      </c>
    </row>
    <row r="7" spans="1:26" hidden="1" outlineLevel="1" x14ac:dyDescent="0.2">
      <c r="A7" s="103">
        <v>5</v>
      </c>
      <c r="B7" s="103" t="str">
        <f t="shared" si="0"/>
        <v>Ejby</v>
      </c>
      <c r="C7" s="96">
        <f t="shared" ca="1" si="6"/>
        <v>0</v>
      </c>
      <c r="D7" s="96">
        <f t="shared" ca="1" si="7"/>
        <v>0</v>
      </c>
      <c r="E7" s="104">
        <f t="shared" ca="1" si="3"/>
        <v>0</v>
      </c>
      <c r="F7" s="96">
        <f t="shared" ca="1" si="4"/>
        <v>0</v>
      </c>
      <c r="G7" s="96">
        <f t="shared" ca="1" si="5"/>
        <v>0</v>
      </c>
      <c r="H7" s="105">
        <f t="shared" ca="1" si="8"/>
        <v>1</v>
      </c>
      <c r="I7" s="105">
        <f t="shared" ca="1" si="9"/>
        <v>0</v>
      </c>
      <c r="J7" s="98">
        <f t="shared" ca="1" si="10"/>
        <v>0</v>
      </c>
      <c r="K7" s="99">
        <f t="shared" ca="1" si="11"/>
        <v>0</v>
      </c>
      <c r="L7" s="99">
        <f t="shared" ca="1" si="12"/>
        <v>1</v>
      </c>
      <c r="M7" s="96">
        <f ca="1">RANK($L7,$L$3:$L$12,1) + COUNTIF($L$3:$L7,$L7)-1</f>
        <v>5</v>
      </c>
    </row>
    <row r="8" spans="1:26" hidden="1" outlineLevel="1" x14ac:dyDescent="0.2">
      <c r="A8" s="103">
        <v>6</v>
      </c>
      <c r="B8" s="103" t="str">
        <f t="shared" si="0"/>
        <v>Fjerritslev</v>
      </c>
      <c r="C8" s="96">
        <f t="shared" ca="1" si="6"/>
        <v>0</v>
      </c>
      <c r="D8" s="96">
        <f t="shared" ca="1" si="7"/>
        <v>0</v>
      </c>
      <c r="E8" s="104">
        <f t="shared" ca="1" si="3"/>
        <v>0</v>
      </c>
      <c r="F8" s="96">
        <f t="shared" ca="1" si="4"/>
        <v>0</v>
      </c>
      <c r="G8" s="96">
        <f t="shared" ca="1" si="5"/>
        <v>0</v>
      </c>
      <c r="H8" s="105">
        <f t="shared" ca="1" si="8"/>
        <v>1</v>
      </c>
      <c r="I8" s="105">
        <f t="shared" ca="1" si="9"/>
        <v>0</v>
      </c>
      <c r="J8" s="98">
        <f t="shared" ca="1" si="10"/>
        <v>0</v>
      </c>
      <c r="K8" s="99">
        <f t="shared" ca="1" si="11"/>
        <v>0</v>
      </c>
      <c r="L8" s="99">
        <f t="shared" ca="1" si="12"/>
        <v>1</v>
      </c>
      <c r="M8" s="96">
        <f ca="1">RANK($L8,$L$3:$L$12,1) + COUNTIF($L$3:$L8,$L8)-1</f>
        <v>6</v>
      </c>
    </row>
    <row r="9" spans="1:26" hidden="1" outlineLevel="1" x14ac:dyDescent="0.2">
      <c r="A9" s="103">
        <v>7</v>
      </c>
      <c r="B9" s="103" t="str">
        <f t="shared" si="0"/>
        <v>Glamsbjerg</v>
      </c>
      <c r="C9" s="96">
        <f t="shared" ca="1" si="6"/>
        <v>0</v>
      </c>
      <c r="D9" s="96">
        <f t="shared" ca="1" si="7"/>
        <v>0</v>
      </c>
      <c r="E9" s="104">
        <f t="shared" ca="1" si="3"/>
        <v>0</v>
      </c>
      <c r="F9" s="96">
        <f t="shared" ca="1" si="4"/>
        <v>0</v>
      </c>
      <c r="G9" s="96">
        <f t="shared" ca="1" si="5"/>
        <v>0</v>
      </c>
      <c r="H9" s="105">
        <f t="shared" ca="1" si="8"/>
        <v>1</v>
      </c>
      <c r="I9" s="105">
        <f t="shared" ca="1" si="9"/>
        <v>0</v>
      </c>
      <c r="J9" s="98">
        <f t="shared" ca="1" si="10"/>
        <v>0</v>
      </c>
      <c r="K9" s="99">
        <f t="shared" ca="1" si="11"/>
        <v>0</v>
      </c>
      <c r="L9" s="99">
        <f t="shared" ca="1" si="12"/>
        <v>1</v>
      </c>
      <c r="M9" s="96">
        <f ca="1">RANK($L9,$L$3:$L$12,1) + COUNTIF($L$3:$L9,$L9)-1</f>
        <v>7</v>
      </c>
    </row>
    <row r="10" spans="1:26" hidden="1" outlineLevel="1" x14ac:dyDescent="0.2">
      <c r="A10" s="103">
        <v>8</v>
      </c>
      <c r="B10" s="103" t="str">
        <f t="shared" si="0"/>
        <v>Holeby</v>
      </c>
      <c r="C10" s="96">
        <f t="shared" ca="1" si="6"/>
        <v>0</v>
      </c>
      <c r="D10" s="96">
        <f t="shared" ca="1" si="7"/>
        <v>0</v>
      </c>
      <c r="E10" s="104">
        <f t="shared" ca="1" si="3"/>
        <v>0</v>
      </c>
      <c r="F10" s="96">
        <f t="shared" ca="1" si="4"/>
        <v>0</v>
      </c>
      <c r="G10" s="96">
        <f t="shared" ca="1" si="5"/>
        <v>0</v>
      </c>
      <c r="H10" s="105">
        <f t="shared" ca="1" si="8"/>
        <v>1</v>
      </c>
      <c r="I10" s="105">
        <f t="shared" ca="1" si="9"/>
        <v>0</v>
      </c>
      <c r="J10" s="98">
        <f t="shared" ca="1" si="10"/>
        <v>0</v>
      </c>
      <c r="K10" s="99">
        <f t="shared" ca="1" si="11"/>
        <v>0</v>
      </c>
      <c r="L10" s="99">
        <f t="shared" ca="1" si="12"/>
        <v>1</v>
      </c>
      <c r="M10" s="96">
        <f ca="1">RANK($L10,$L$3:$L$12,1) + COUNTIF($L$3:$L10,$L10)-1</f>
        <v>8</v>
      </c>
    </row>
    <row r="11" spans="1:26" hidden="1" outlineLevel="1" x14ac:dyDescent="0.2">
      <c r="A11" s="103">
        <v>9</v>
      </c>
      <c r="B11" s="103" t="str">
        <f t="shared" si="0"/>
        <v>Indre By</v>
      </c>
      <c r="C11" s="96">
        <f t="shared" ca="1" si="6"/>
        <v>0</v>
      </c>
      <c r="D11" s="96">
        <f t="shared" ca="1" si="7"/>
        <v>0</v>
      </c>
      <c r="E11" s="104">
        <f t="shared" ca="1" si="3"/>
        <v>0</v>
      </c>
      <c r="F11" s="96">
        <f t="shared" ca="1" si="4"/>
        <v>0</v>
      </c>
      <c r="G11" s="96">
        <f t="shared" ca="1" si="5"/>
        <v>0</v>
      </c>
      <c r="H11" s="105">
        <f t="shared" ca="1" si="8"/>
        <v>1</v>
      </c>
      <c r="I11" s="105">
        <f t="shared" ca="1" si="9"/>
        <v>0</v>
      </c>
      <c r="J11" s="98">
        <f t="shared" ca="1" si="10"/>
        <v>0</v>
      </c>
      <c r="K11" s="99">
        <f t="shared" ca="1" si="11"/>
        <v>0</v>
      </c>
      <c r="L11" s="99">
        <f t="shared" ca="1" si="12"/>
        <v>1</v>
      </c>
      <c r="M11" s="96">
        <f ca="1">RANK($L11,$L$3:$L$12,1) + COUNTIF($L$3:$L11,$L11)-1</f>
        <v>9</v>
      </c>
    </row>
    <row r="12" spans="1:26" hidden="1" outlineLevel="1" x14ac:dyDescent="0.2">
      <c r="A12" s="103">
        <v>10</v>
      </c>
      <c r="B12" s="103" t="str">
        <f t="shared" si="0"/>
        <v>Jullerup</v>
      </c>
      <c r="C12" s="96">
        <f t="shared" ca="1" si="6"/>
        <v>0</v>
      </c>
      <c r="D12" s="96">
        <f t="shared" ca="1" si="7"/>
        <v>0</v>
      </c>
      <c r="E12" s="104">
        <f t="shared" ca="1" si="3"/>
        <v>0</v>
      </c>
      <c r="F12" s="96">
        <f t="shared" ca="1" si="4"/>
        <v>0</v>
      </c>
      <c r="G12" s="96">
        <f t="shared" ca="1" si="5"/>
        <v>0</v>
      </c>
      <c r="H12" s="105">
        <f t="shared" ca="1" si="8"/>
        <v>1</v>
      </c>
      <c r="I12" s="105">
        <f t="shared" ca="1" si="9"/>
        <v>0</v>
      </c>
      <c r="J12" s="98">
        <f t="shared" ca="1" si="10"/>
        <v>0</v>
      </c>
      <c r="K12" s="99">
        <f t="shared" ca="1" si="11"/>
        <v>0</v>
      </c>
      <c r="L12" s="99">
        <f t="shared" ca="1" si="12"/>
        <v>1</v>
      </c>
      <c r="M12" s="96">
        <f ca="1">RANK($L12,$L$3:$L$12,1) + COUNTIF($L$3:$L12,$L12)-1</f>
        <v>10</v>
      </c>
    </row>
    <row r="13" spans="1:26" ht="13.2" collapsed="1" thickBot="1" x14ac:dyDescent="0.25">
      <c r="P13" s="4"/>
      <c r="Q13" s="4"/>
      <c r="R13"/>
      <c r="S13"/>
      <c r="T13"/>
    </row>
    <row r="14" spans="1:26" s="4" customFormat="1" ht="24" thickBot="1" x14ac:dyDescent="0.5">
      <c r="A14" s="42" t="s">
        <v>168</v>
      </c>
      <c r="B14" s="74">
        <v>10</v>
      </c>
      <c r="C14" s="72"/>
      <c r="D14" s="73" t="s">
        <v>65</v>
      </c>
      <c r="E14" s="74">
        <f>(B14/2)*(B14-1)</f>
        <v>45</v>
      </c>
      <c r="F14"/>
      <c r="G14"/>
      <c r="H14"/>
      <c r="I14"/>
      <c r="J14"/>
      <c r="K14"/>
      <c r="Q14" s="75" t="s">
        <v>0</v>
      </c>
      <c r="R14" s="5"/>
      <c r="S14" s="5"/>
      <c r="T14" s="5"/>
      <c r="U14" s="5"/>
      <c r="V14" s="5"/>
      <c r="W14" s="5"/>
      <c r="X14" s="5"/>
      <c r="Y14" s="5"/>
      <c r="Z14" s="5"/>
    </row>
    <row r="15" spans="1:26" ht="6.75" customHeight="1" x14ac:dyDescent="0.2">
      <c r="P15"/>
      <c r="Q15"/>
      <c r="R15"/>
      <c r="S15"/>
      <c r="T15"/>
    </row>
    <row r="16" spans="1:26" ht="13.8" x14ac:dyDescent="0.25">
      <c r="A16" s="35" t="s">
        <v>200</v>
      </c>
      <c r="B16" s="35" t="s">
        <v>66</v>
      </c>
      <c r="C16" s="35" t="s">
        <v>67</v>
      </c>
      <c r="D16" s="35" t="s">
        <v>68</v>
      </c>
      <c r="E16" s="35" t="s">
        <v>69</v>
      </c>
      <c r="F16" s="35" t="s">
        <v>70</v>
      </c>
      <c r="G16" s="35" t="s">
        <v>71</v>
      </c>
      <c r="H16" s="35" t="s">
        <v>72</v>
      </c>
      <c r="I16" s="35" t="s">
        <v>73</v>
      </c>
      <c r="J16" s="35" t="s">
        <v>74</v>
      </c>
      <c r="K16" s="35" t="s">
        <v>75</v>
      </c>
      <c r="L16" s="7" t="s">
        <v>2</v>
      </c>
      <c r="M16" s="6" t="s">
        <v>3</v>
      </c>
      <c r="N16" s="6" t="s">
        <v>4</v>
      </c>
      <c r="O16" s="6" t="s">
        <v>167</v>
      </c>
      <c r="P16" s="6"/>
      <c r="Q16" s="128" t="s">
        <v>198</v>
      </c>
      <c r="R16" s="129" t="s">
        <v>176</v>
      </c>
      <c r="S16" s="129"/>
      <c r="T16" s="130" t="s">
        <v>5</v>
      </c>
      <c r="U16" s="128" t="s">
        <v>6</v>
      </c>
      <c r="V16" s="128" t="s">
        <v>7</v>
      </c>
      <c r="W16" s="128" t="s">
        <v>8</v>
      </c>
      <c r="X16" s="128" t="s">
        <v>9</v>
      </c>
      <c r="Y16" s="128" t="s">
        <v>10</v>
      </c>
      <c r="Z16" s="131" t="s">
        <v>177</v>
      </c>
    </row>
    <row r="17" spans="1:26" ht="17.399999999999999" x14ac:dyDescent="0.35">
      <c r="A17" s="35" t="s">
        <v>66</v>
      </c>
      <c r="B17" s="36"/>
      <c r="C17" s="9">
        <v>41</v>
      </c>
      <c r="D17" s="9">
        <v>81</v>
      </c>
      <c r="E17" s="9">
        <v>31</v>
      </c>
      <c r="F17" s="9">
        <v>71</v>
      </c>
      <c r="G17" s="9">
        <v>21</v>
      </c>
      <c r="H17" s="9">
        <v>61</v>
      </c>
      <c r="I17" s="9">
        <v>11</v>
      </c>
      <c r="J17" s="9">
        <v>51</v>
      </c>
      <c r="K17" s="9">
        <v>1</v>
      </c>
      <c r="L17" s="10" t="str">
        <f t="shared" ref="L17:L26" ca="1" si="13">IFERROR(CHOOSE((R17=H$122)*1+(R17=I$122)*2+(R17=H$120)*3,"Guld","Sølv","Bronze"),"")</f>
        <v/>
      </c>
      <c r="M17" s="11">
        <f t="shared" ref="M17:M26" ca="1" si="14">COUNTIF(team1,$B3)</f>
        <v>9</v>
      </c>
      <c r="N17" s="11">
        <f t="shared" ref="N17:N26" ca="1" si="15">COUNTIF(team2,$B3)</f>
        <v>9</v>
      </c>
      <c r="O17" s="11">
        <f ca="1">SUM(M17:N17)</f>
        <v>18</v>
      </c>
      <c r="P17" s="11"/>
      <c r="Q17" s="119">
        <v>1</v>
      </c>
      <c r="R17" s="120" t="str">
        <f t="shared" ref="R17:R26" ca="1" si="16" xml:space="preserve">  INDEX(teams,MATCH(teamNum,actRank,0))</f>
        <v>Assens</v>
      </c>
      <c r="S17" s="120"/>
      <c r="T17" s="127">
        <f t="shared" ref="T17:T26" ca="1" si="17">COUNTIFS(team1,teamName,points1,"&gt;=0")+COUNTIFS(team2,teamName,points2,"&gt;=0")</f>
        <v>0</v>
      </c>
      <c r="U17" s="143">
        <f t="shared" ref="U17:U26" ca="1" si="18">COUNTIFS(team1,teamName,points1,ptv)+COUNTIFS(team2,teamName,points2,ptv)</f>
        <v>0</v>
      </c>
      <c r="V17" s="121">
        <f t="shared" ref="V17:V26" ca="1" si="19">COUNTIFS(team1,teamName,points1,ptu)+COUNTIFS(team2,teamName,points2,ptu)</f>
        <v>0</v>
      </c>
      <c r="W17" s="121">
        <f t="shared" ref="W17:W26" ca="1" si="20">COUNTIFS(team1,teamName,points1,ptt)+COUNTIFS(team2,teamName,points2,ptt)</f>
        <v>0</v>
      </c>
      <c r="X17" s="143">
        <f t="shared" ref="X17:X26" ca="1" si="21">SUMIF(team1,teamName,goals1)+SUMIF(team2,teamName,goals2)</f>
        <v>0</v>
      </c>
      <c r="Y17" s="121">
        <f t="shared" ref="Y17:Y26" ca="1" si="22">SUMIF(team1,teamName,goals2)+SUMIF(team2,teamName,goals1)</f>
        <v>0</v>
      </c>
      <c r="Z17" s="144">
        <f t="shared" ref="Z17:Z26" ca="1" si="23">SUMIFS(points1,team1,teamName)+SUMIFS(points2,team2,teamName)</f>
        <v>0</v>
      </c>
    </row>
    <row r="18" spans="1:26" ht="17.399999999999999" x14ac:dyDescent="0.35">
      <c r="A18" s="35" t="s">
        <v>67</v>
      </c>
      <c r="B18" s="9">
        <v>86</v>
      </c>
      <c r="C18" s="36"/>
      <c r="D18" s="9">
        <v>20</v>
      </c>
      <c r="E18" s="9">
        <v>82</v>
      </c>
      <c r="F18" s="9">
        <v>14</v>
      </c>
      <c r="G18" s="9">
        <v>78</v>
      </c>
      <c r="H18" s="9">
        <v>8</v>
      </c>
      <c r="I18" s="9">
        <v>74</v>
      </c>
      <c r="J18" s="9">
        <v>2</v>
      </c>
      <c r="K18" s="9">
        <v>70</v>
      </c>
      <c r="L18" s="10" t="str">
        <f t="shared" ca="1" si="13"/>
        <v/>
      </c>
      <c r="M18" s="11">
        <f t="shared" ca="1" si="14"/>
        <v>9</v>
      </c>
      <c r="N18" s="11">
        <f t="shared" ca="1" si="15"/>
        <v>9</v>
      </c>
      <c r="O18" s="11">
        <f t="shared" ref="O18:O26" ca="1" si="24">SUM(M18:N18)</f>
        <v>18</v>
      </c>
      <c r="P18" s="11"/>
      <c r="Q18" s="119">
        <v>2</v>
      </c>
      <c r="R18" s="120" t="str">
        <f t="shared" ca="1" si="16"/>
        <v>Bogense</v>
      </c>
      <c r="S18" s="120"/>
      <c r="T18" s="127">
        <f t="shared" ca="1" si="17"/>
        <v>0</v>
      </c>
      <c r="U18" s="143">
        <f t="shared" ca="1" si="18"/>
        <v>0</v>
      </c>
      <c r="V18" s="121">
        <f t="shared" ca="1" si="19"/>
        <v>0</v>
      </c>
      <c r="W18" s="121">
        <f t="shared" ca="1" si="20"/>
        <v>0</v>
      </c>
      <c r="X18" s="143">
        <f t="shared" ca="1" si="21"/>
        <v>0</v>
      </c>
      <c r="Y18" s="121">
        <f t="shared" ca="1" si="22"/>
        <v>0</v>
      </c>
      <c r="Z18" s="144">
        <f t="shared" ca="1" si="23"/>
        <v>0</v>
      </c>
    </row>
    <row r="19" spans="1:26" ht="17.399999999999999" x14ac:dyDescent="0.35">
      <c r="A19" s="35" t="s">
        <v>68</v>
      </c>
      <c r="B19" s="9">
        <v>36</v>
      </c>
      <c r="C19" s="9">
        <v>65</v>
      </c>
      <c r="D19" s="36"/>
      <c r="E19" s="9">
        <v>15</v>
      </c>
      <c r="F19" s="9">
        <v>77</v>
      </c>
      <c r="G19" s="9">
        <v>9</v>
      </c>
      <c r="H19" s="9">
        <v>73</v>
      </c>
      <c r="I19" s="9">
        <v>3</v>
      </c>
      <c r="J19" s="9">
        <v>69</v>
      </c>
      <c r="K19" s="9">
        <v>42</v>
      </c>
      <c r="L19" s="10" t="str">
        <f t="shared" ca="1" si="13"/>
        <v/>
      </c>
      <c r="M19" s="11">
        <f t="shared" ca="1" si="14"/>
        <v>9</v>
      </c>
      <c r="N19" s="11">
        <f t="shared" ca="1" si="15"/>
        <v>9</v>
      </c>
      <c r="O19" s="11">
        <f t="shared" ca="1" si="24"/>
        <v>18</v>
      </c>
      <c r="P19" s="11"/>
      <c r="Q19" s="119">
        <v>3</v>
      </c>
      <c r="R19" s="120" t="str">
        <f t="shared" ca="1" si="16"/>
        <v>Christiansfelt</v>
      </c>
      <c r="S19" s="120"/>
      <c r="T19" s="127">
        <f t="shared" ca="1" si="17"/>
        <v>0</v>
      </c>
      <c r="U19" s="143">
        <f t="shared" ca="1" si="18"/>
        <v>0</v>
      </c>
      <c r="V19" s="121">
        <f t="shared" ca="1" si="19"/>
        <v>0</v>
      </c>
      <c r="W19" s="121">
        <f t="shared" ca="1" si="20"/>
        <v>0</v>
      </c>
      <c r="X19" s="143">
        <f t="shared" ca="1" si="21"/>
        <v>0</v>
      </c>
      <c r="Y19" s="121">
        <f t="shared" ca="1" si="22"/>
        <v>0</v>
      </c>
      <c r="Z19" s="144">
        <f t="shared" ca="1" si="23"/>
        <v>0</v>
      </c>
    </row>
    <row r="20" spans="1:26" ht="17.399999999999999" x14ac:dyDescent="0.35">
      <c r="A20" s="35" t="s">
        <v>69</v>
      </c>
      <c r="B20" s="9">
        <v>76</v>
      </c>
      <c r="C20" s="9">
        <v>37</v>
      </c>
      <c r="D20" s="9">
        <v>60</v>
      </c>
      <c r="E20" s="36"/>
      <c r="F20" s="9">
        <v>10</v>
      </c>
      <c r="G20" s="9">
        <v>72</v>
      </c>
      <c r="H20" s="9">
        <v>4</v>
      </c>
      <c r="I20" s="9">
        <v>68</v>
      </c>
      <c r="J20" s="9">
        <v>43</v>
      </c>
      <c r="K20" s="9">
        <v>64</v>
      </c>
      <c r="L20" s="10" t="str">
        <f t="shared" ca="1" si="13"/>
        <v/>
      </c>
      <c r="M20" s="11">
        <f t="shared" ca="1" si="14"/>
        <v>9</v>
      </c>
      <c r="N20" s="11">
        <f t="shared" ca="1" si="15"/>
        <v>9</v>
      </c>
      <c r="O20" s="11">
        <f t="shared" ca="1" si="24"/>
        <v>18</v>
      </c>
      <c r="P20" s="11"/>
      <c r="Q20" s="119">
        <v>4</v>
      </c>
      <c r="R20" s="120" t="str">
        <f t="shared" ca="1" si="16"/>
        <v>Dragør</v>
      </c>
      <c r="S20" s="120"/>
      <c r="T20" s="127">
        <f t="shared" ca="1" si="17"/>
        <v>0</v>
      </c>
      <c r="U20" s="143">
        <f t="shared" ca="1" si="18"/>
        <v>0</v>
      </c>
      <c r="V20" s="121">
        <f t="shared" ca="1" si="19"/>
        <v>0</v>
      </c>
      <c r="W20" s="121">
        <f t="shared" ca="1" si="20"/>
        <v>0</v>
      </c>
      <c r="X20" s="143">
        <f t="shared" ca="1" si="21"/>
        <v>0</v>
      </c>
      <c r="Y20" s="121">
        <f t="shared" ca="1" si="22"/>
        <v>0</v>
      </c>
      <c r="Z20" s="144">
        <f t="shared" ca="1" si="23"/>
        <v>0</v>
      </c>
    </row>
    <row r="21" spans="1:26" ht="17.399999999999999" x14ac:dyDescent="0.35">
      <c r="A21" s="35" t="s">
        <v>70</v>
      </c>
      <c r="B21" s="9">
        <v>26</v>
      </c>
      <c r="C21" s="9">
        <v>59</v>
      </c>
      <c r="D21" s="9">
        <v>32</v>
      </c>
      <c r="E21" s="9">
        <v>55</v>
      </c>
      <c r="F21" s="36"/>
      <c r="G21" s="9">
        <v>5</v>
      </c>
      <c r="H21" s="9">
        <v>67</v>
      </c>
      <c r="I21" s="9">
        <v>44</v>
      </c>
      <c r="J21" s="9">
        <v>63</v>
      </c>
      <c r="K21" s="9">
        <v>38</v>
      </c>
      <c r="L21" s="10" t="str">
        <f t="shared" ca="1" si="13"/>
        <v/>
      </c>
      <c r="M21" s="11">
        <f t="shared" ca="1" si="14"/>
        <v>9</v>
      </c>
      <c r="N21" s="11">
        <f t="shared" ca="1" si="15"/>
        <v>9</v>
      </c>
      <c r="O21" s="11">
        <f t="shared" ca="1" si="24"/>
        <v>18</v>
      </c>
      <c r="P21" s="11"/>
      <c r="Q21" s="119">
        <v>5</v>
      </c>
      <c r="R21" s="120" t="str">
        <f t="shared" ca="1" si="16"/>
        <v>Ejby</v>
      </c>
      <c r="S21" s="120"/>
      <c r="T21" s="127">
        <f t="shared" ca="1" si="17"/>
        <v>0</v>
      </c>
      <c r="U21" s="143">
        <f t="shared" ca="1" si="18"/>
        <v>0</v>
      </c>
      <c r="V21" s="121">
        <f t="shared" ca="1" si="19"/>
        <v>0</v>
      </c>
      <c r="W21" s="121">
        <f t="shared" ca="1" si="20"/>
        <v>0</v>
      </c>
      <c r="X21" s="143">
        <f t="shared" ca="1" si="21"/>
        <v>0</v>
      </c>
      <c r="Y21" s="121">
        <f t="shared" ca="1" si="22"/>
        <v>0</v>
      </c>
      <c r="Z21" s="144">
        <f t="shared" ca="1" si="23"/>
        <v>0</v>
      </c>
    </row>
    <row r="22" spans="1:26" ht="17.399999999999999" x14ac:dyDescent="0.35">
      <c r="A22" s="35" t="s">
        <v>71</v>
      </c>
      <c r="B22" s="9">
        <v>66</v>
      </c>
      <c r="C22" s="9">
        <v>33</v>
      </c>
      <c r="D22" s="9">
        <v>54</v>
      </c>
      <c r="E22" s="9">
        <v>27</v>
      </c>
      <c r="F22" s="9">
        <v>50</v>
      </c>
      <c r="G22" s="36"/>
      <c r="H22" s="9">
        <v>45</v>
      </c>
      <c r="I22" s="9">
        <v>62</v>
      </c>
      <c r="J22" s="9">
        <v>39</v>
      </c>
      <c r="K22" s="9">
        <v>58</v>
      </c>
      <c r="L22" s="10" t="str">
        <f t="shared" ca="1" si="13"/>
        <v/>
      </c>
      <c r="M22" s="11">
        <f t="shared" ca="1" si="14"/>
        <v>9</v>
      </c>
      <c r="N22" s="11">
        <f t="shared" ca="1" si="15"/>
        <v>9</v>
      </c>
      <c r="O22" s="11">
        <f t="shared" ca="1" si="24"/>
        <v>18</v>
      </c>
      <c r="P22" s="11"/>
      <c r="Q22" s="119">
        <v>6</v>
      </c>
      <c r="R22" s="120" t="str">
        <f t="shared" ca="1" si="16"/>
        <v>Fjerritslev</v>
      </c>
      <c r="S22" s="120"/>
      <c r="T22" s="127">
        <f t="shared" ca="1" si="17"/>
        <v>0</v>
      </c>
      <c r="U22" s="143">
        <f t="shared" ca="1" si="18"/>
        <v>0</v>
      </c>
      <c r="V22" s="121">
        <f t="shared" ca="1" si="19"/>
        <v>0</v>
      </c>
      <c r="W22" s="121">
        <f t="shared" ca="1" si="20"/>
        <v>0</v>
      </c>
      <c r="X22" s="143">
        <f t="shared" ca="1" si="21"/>
        <v>0</v>
      </c>
      <c r="Y22" s="121">
        <f t="shared" ca="1" si="22"/>
        <v>0</v>
      </c>
      <c r="Z22" s="144">
        <f t="shared" ca="1" si="23"/>
        <v>0</v>
      </c>
    </row>
    <row r="23" spans="1:26" ht="17.399999999999999" x14ac:dyDescent="0.35">
      <c r="A23" s="35" t="s">
        <v>72</v>
      </c>
      <c r="B23" s="9">
        <v>16</v>
      </c>
      <c r="C23" s="9">
        <v>53</v>
      </c>
      <c r="D23" s="9">
        <v>28</v>
      </c>
      <c r="E23" s="9">
        <v>49</v>
      </c>
      <c r="F23" s="9">
        <v>22</v>
      </c>
      <c r="G23" s="9">
        <v>90</v>
      </c>
      <c r="H23" s="36"/>
      <c r="I23" s="9">
        <v>40</v>
      </c>
      <c r="J23" s="9">
        <v>57</v>
      </c>
      <c r="K23" s="9">
        <v>34</v>
      </c>
      <c r="L23" s="10" t="str">
        <f t="shared" ca="1" si="13"/>
        <v/>
      </c>
      <c r="M23" s="11">
        <f t="shared" ca="1" si="14"/>
        <v>9</v>
      </c>
      <c r="N23" s="11">
        <f t="shared" ca="1" si="15"/>
        <v>9</v>
      </c>
      <c r="O23" s="11">
        <f t="shared" ca="1" si="24"/>
        <v>18</v>
      </c>
      <c r="P23" s="11"/>
      <c r="Q23" s="119">
        <v>7</v>
      </c>
      <c r="R23" s="120" t="str">
        <f t="shared" ca="1" si="16"/>
        <v>Glamsbjerg</v>
      </c>
      <c r="S23" s="120"/>
      <c r="T23" s="127">
        <f t="shared" ca="1" si="17"/>
        <v>0</v>
      </c>
      <c r="U23" s="143">
        <f t="shared" ca="1" si="18"/>
        <v>0</v>
      </c>
      <c r="V23" s="121">
        <f t="shared" ca="1" si="19"/>
        <v>0</v>
      </c>
      <c r="W23" s="121">
        <f t="shared" ca="1" si="20"/>
        <v>0</v>
      </c>
      <c r="X23" s="143">
        <f t="shared" ca="1" si="21"/>
        <v>0</v>
      </c>
      <c r="Y23" s="121">
        <f t="shared" ca="1" si="22"/>
        <v>0</v>
      </c>
      <c r="Z23" s="144">
        <f t="shared" ca="1" si="23"/>
        <v>0</v>
      </c>
    </row>
    <row r="24" spans="1:26" ht="17.399999999999999" x14ac:dyDescent="0.35">
      <c r="A24" s="35" t="s">
        <v>73</v>
      </c>
      <c r="B24" s="9">
        <v>56</v>
      </c>
      <c r="C24" s="9">
        <v>29</v>
      </c>
      <c r="D24" s="9">
        <v>48</v>
      </c>
      <c r="E24" s="9">
        <v>23</v>
      </c>
      <c r="F24" s="9">
        <v>89</v>
      </c>
      <c r="G24" s="9">
        <v>17</v>
      </c>
      <c r="H24" s="9">
        <v>85</v>
      </c>
      <c r="I24" s="36"/>
      <c r="J24" s="9">
        <v>35</v>
      </c>
      <c r="K24" s="9">
        <v>52</v>
      </c>
      <c r="L24" s="10" t="str">
        <f t="shared" ca="1" si="13"/>
        <v/>
      </c>
      <c r="M24" s="11">
        <f t="shared" ca="1" si="14"/>
        <v>9</v>
      </c>
      <c r="N24" s="11">
        <f t="shared" ca="1" si="15"/>
        <v>9</v>
      </c>
      <c r="O24" s="11">
        <f t="shared" ca="1" si="24"/>
        <v>18</v>
      </c>
      <c r="P24" s="11"/>
      <c r="Q24" s="119">
        <v>8</v>
      </c>
      <c r="R24" s="120" t="str">
        <f t="shared" ca="1" si="16"/>
        <v>Holeby</v>
      </c>
      <c r="S24" s="120"/>
      <c r="T24" s="127">
        <f t="shared" ca="1" si="17"/>
        <v>0</v>
      </c>
      <c r="U24" s="143">
        <f t="shared" ca="1" si="18"/>
        <v>0</v>
      </c>
      <c r="V24" s="121">
        <f t="shared" ca="1" si="19"/>
        <v>0</v>
      </c>
      <c r="W24" s="121">
        <f t="shared" ca="1" si="20"/>
        <v>0</v>
      </c>
      <c r="X24" s="143">
        <f t="shared" ca="1" si="21"/>
        <v>0</v>
      </c>
      <c r="Y24" s="121">
        <f t="shared" ca="1" si="22"/>
        <v>0</v>
      </c>
      <c r="Z24" s="144">
        <f t="shared" ca="1" si="23"/>
        <v>0</v>
      </c>
    </row>
    <row r="25" spans="1:26" ht="17.399999999999999" x14ac:dyDescent="0.35">
      <c r="A25" s="35" t="s">
        <v>74</v>
      </c>
      <c r="B25" s="9">
        <v>6</v>
      </c>
      <c r="C25" s="9">
        <v>47</v>
      </c>
      <c r="D25" s="9">
        <v>24</v>
      </c>
      <c r="E25" s="9">
        <v>88</v>
      </c>
      <c r="F25" s="9">
        <v>18</v>
      </c>
      <c r="G25" s="9">
        <v>84</v>
      </c>
      <c r="H25" s="9">
        <v>12</v>
      </c>
      <c r="I25" s="9">
        <v>80</v>
      </c>
      <c r="J25" s="36"/>
      <c r="K25" s="9">
        <v>30</v>
      </c>
      <c r="L25" s="10" t="str">
        <f t="shared" ca="1" si="13"/>
        <v/>
      </c>
      <c r="M25" s="11">
        <f t="shared" ca="1" si="14"/>
        <v>9</v>
      </c>
      <c r="N25" s="11">
        <f t="shared" ca="1" si="15"/>
        <v>9</v>
      </c>
      <c r="O25" s="11">
        <f t="shared" ca="1" si="24"/>
        <v>18</v>
      </c>
      <c r="P25" s="11"/>
      <c r="Q25" s="119">
        <v>9</v>
      </c>
      <c r="R25" s="120" t="str">
        <f t="shared" ca="1" si="16"/>
        <v>Indre By</v>
      </c>
      <c r="S25" s="120"/>
      <c r="T25" s="127">
        <f t="shared" ca="1" si="17"/>
        <v>0</v>
      </c>
      <c r="U25" s="143">
        <f t="shared" ca="1" si="18"/>
        <v>0</v>
      </c>
      <c r="V25" s="121">
        <f t="shared" ca="1" si="19"/>
        <v>0</v>
      </c>
      <c r="W25" s="121">
        <f t="shared" ca="1" si="20"/>
        <v>0</v>
      </c>
      <c r="X25" s="143">
        <f t="shared" ca="1" si="21"/>
        <v>0</v>
      </c>
      <c r="Y25" s="121">
        <f t="shared" ca="1" si="22"/>
        <v>0</v>
      </c>
      <c r="Z25" s="144">
        <f t="shared" ca="1" si="23"/>
        <v>0</v>
      </c>
    </row>
    <row r="26" spans="1:26" ht="17.399999999999999" x14ac:dyDescent="0.35">
      <c r="A26" s="35" t="s">
        <v>75</v>
      </c>
      <c r="B26" s="9">
        <v>46</v>
      </c>
      <c r="C26" s="9">
        <v>25</v>
      </c>
      <c r="D26" s="9">
        <v>87</v>
      </c>
      <c r="E26" s="9">
        <v>19</v>
      </c>
      <c r="F26" s="9">
        <v>83</v>
      </c>
      <c r="G26" s="9">
        <v>13</v>
      </c>
      <c r="H26" s="9">
        <v>79</v>
      </c>
      <c r="I26" s="9">
        <v>7</v>
      </c>
      <c r="J26" s="9">
        <v>75</v>
      </c>
      <c r="K26" s="36"/>
      <c r="L26" s="10" t="str">
        <f t="shared" ca="1" si="13"/>
        <v/>
      </c>
      <c r="M26" s="11">
        <f t="shared" ca="1" si="14"/>
        <v>9</v>
      </c>
      <c r="N26" s="11">
        <f t="shared" ca="1" si="15"/>
        <v>9</v>
      </c>
      <c r="O26" s="11">
        <f t="shared" ca="1" si="24"/>
        <v>18</v>
      </c>
      <c r="P26" s="11"/>
      <c r="Q26" s="119">
        <v>10</v>
      </c>
      <c r="R26" s="120" t="str">
        <f t="shared" ca="1" si="16"/>
        <v>Jullerup</v>
      </c>
      <c r="S26" s="120"/>
      <c r="T26" s="127">
        <f t="shared" ca="1" si="17"/>
        <v>0</v>
      </c>
      <c r="U26" s="143">
        <f t="shared" ca="1" si="18"/>
        <v>0</v>
      </c>
      <c r="V26" s="121">
        <f t="shared" ca="1" si="19"/>
        <v>0</v>
      </c>
      <c r="W26" s="121">
        <f t="shared" ca="1" si="20"/>
        <v>0</v>
      </c>
      <c r="X26" s="143">
        <f t="shared" ca="1" si="21"/>
        <v>0</v>
      </c>
      <c r="Y26" s="121">
        <f t="shared" ca="1" si="22"/>
        <v>0</v>
      </c>
      <c r="Z26" s="144">
        <f t="shared" ca="1" si="23"/>
        <v>0</v>
      </c>
    </row>
    <row r="27" spans="1:26" ht="12" customHeight="1" x14ac:dyDescent="0.2">
      <c r="A27" s="6"/>
      <c r="B27" s="37"/>
      <c r="C27" s="37"/>
      <c r="D27" s="37"/>
      <c r="E27" s="37"/>
      <c r="F27" s="37"/>
      <c r="G27" s="37"/>
      <c r="H27" s="37"/>
      <c r="I27" s="37"/>
      <c r="J27" s="37"/>
      <c r="K27" s="37"/>
      <c r="L27" s="37"/>
      <c r="M27" s="11"/>
      <c r="N27" s="11"/>
      <c r="O27" s="11"/>
      <c r="P27" s="11"/>
      <c r="Q27"/>
      <c r="R27"/>
      <c r="S27"/>
      <c r="T27"/>
    </row>
    <row r="28" spans="1:26" s="12" customFormat="1" ht="15" thickBot="1" x14ac:dyDescent="0.35">
      <c r="B28"/>
      <c r="C28" s="44" t="s">
        <v>17</v>
      </c>
      <c r="D28" s="45" t="s">
        <v>18</v>
      </c>
      <c r="E28" s="46" t="s">
        <v>19</v>
      </c>
      <c r="F28" s="47" t="s">
        <v>20</v>
      </c>
      <c r="G28" s="47" t="s">
        <v>21</v>
      </c>
      <c r="H28" s="47" t="s">
        <v>22</v>
      </c>
      <c r="I28" s="47" t="s">
        <v>23</v>
      </c>
      <c r="J28" s="48" t="s">
        <v>24</v>
      </c>
      <c r="K28" s="12" t="s">
        <v>25</v>
      </c>
      <c r="M28"/>
      <c r="N28"/>
      <c r="Q28" s="140" t="s">
        <v>5</v>
      </c>
      <c r="R28" s="139" t="s">
        <v>26</v>
      </c>
      <c r="S28" s="139" t="s">
        <v>27</v>
      </c>
      <c r="T28" s="158" t="s">
        <v>25</v>
      </c>
      <c r="U28" s="158" t="s">
        <v>196</v>
      </c>
      <c r="V28" s="158" t="s">
        <v>195</v>
      </c>
      <c r="W28" s="159" t="s">
        <v>193</v>
      </c>
      <c r="X28" s="159" t="s">
        <v>194</v>
      </c>
      <c r="Y28" s="138" t="s">
        <v>32</v>
      </c>
      <c r="Z28" s="138" t="s">
        <v>32</v>
      </c>
    </row>
    <row r="29" spans="1:26" ht="17.399999999999999" x14ac:dyDescent="0.35">
      <c r="C29" s="50" t="s">
        <v>76</v>
      </c>
      <c r="D29" s="51"/>
      <c r="E29" s="50">
        <v>1</v>
      </c>
      <c r="F29" s="52">
        <f t="shared" ref="F29:F93" si="25">SUMPRODUCT((HxA=$E29)*(COLUMN(HxA)))-COLUMN(HxA)+1</f>
        <v>11</v>
      </c>
      <c r="G29" s="52">
        <f>SUMPRODUCT((HxA=$E29)*(ROW(HxA)))-ROW(HxA)+1</f>
        <v>2</v>
      </c>
      <c r="H29" s="53" t="str">
        <f t="shared" ref="H29:H60" si="26">INDEX(HxA,G29,1)</f>
        <v>T_01</v>
      </c>
      <c r="I29" s="53" t="str">
        <f t="shared" ref="I29:I60" si="27">INDEX(HxA,1,F29)</f>
        <v>T_10</v>
      </c>
      <c r="J29" s="54">
        <v>1</v>
      </c>
      <c r="K29" s="55">
        <v>43832</v>
      </c>
      <c r="M29" s="12"/>
      <c r="N29" s="12"/>
      <c r="P29"/>
      <c r="Q29" s="122">
        <v>1</v>
      </c>
      <c r="R29" s="122" t="str">
        <f t="shared" ref="R29:R60" ca="1" si="28">INDIRECT(H29)</f>
        <v>Assens</v>
      </c>
      <c r="S29" s="122" t="str">
        <f t="shared" ref="S29:S60" ca="1" si="29">INDIRECT(I29)</f>
        <v>Jullerup</v>
      </c>
      <c r="T29" s="141"/>
      <c r="U29" s="142" t="s">
        <v>33</v>
      </c>
      <c r="V29" s="152"/>
      <c r="W29" s="153"/>
      <c r="X29" s="154"/>
      <c r="Y29" s="121" t="str">
        <f t="shared" ref="Y29:Y80" si="30">IF(ISNUMBER(W29)*ISNUMBER(X29),IF(W29&gt;X29,ptv, IF(W29=X29,ptu,ptt)),"-")</f>
        <v>-</v>
      </c>
      <c r="Z29" s="121" t="str">
        <f t="shared" ref="Z29:Z80" si="31">IF(ISNUMBER(W29)*ISNUMBER(X29),IF(Y29=ptv,ptt,IF(Y29=ptu,ptu,ptv)),"-")</f>
        <v>-</v>
      </c>
    </row>
    <row r="30" spans="1:26" ht="17.399999999999999" x14ac:dyDescent="0.35">
      <c r="C30" s="56" t="s">
        <v>77</v>
      </c>
      <c r="D30" s="57">
        <f t="shared" ref="D30:D61" si="32">OR(H30=H29,H30=I29,I30=H29,I30=I29)*1</f>
        <v>0</v>
      </c>
      <c r="E30" s="56">
        <v>2</v>
      </c>
      <c r="F30" s="58">
        <f t="shared" si="25"/>
        <v>10</v>
      </c>
      <c r="G30" s="58">
        <f t="shared" ref="G30:G93" si="33">SUMPRODUCT((HxA=$E30)*(ROW(HxA)))-ROW(HxA)+1</f>
        <v>3</v>
      </c>
      <c r="H30" s="59" t="str">
        <f t="shared" si="26"/>
        <v>T_02</v>
      </c>
      <c r="I30" s="59" t="str">
        <f t="shared" si="27"/>
        <v>T_09</v>
      </c>
      <c r="J30" s="59">
        <f>J29</f>
        <v>1</v>
      </c>
      <c r="K30" s="60">
        <f t="shared" ref="K30:K61" si="34">$K$29+J30</f>
        <v>43833</v>
      </c>
      <c r="P30"/>
      <c r="Q30" s="122">
        <v>2</v>
      </c>
      <c r="R30" s="122" t="str">
        <f t="shared" ca="1" si="28"/>
        <v>Bogense</v>
      </c>
      <c r="S30" s="122" t="str">
        <f t="shared" ca="1" si="29"/>
        <v>Indre By</v>
      </c>
      <c r="T30" s="134"/>
      <c r="U30" s="123" t="str">
        <f>IFERROR(U29+mMin,"-")</f>
        <v>-</v>
      </c>
      <c r="V30" s="146"/>
      <c r="W30" s="147"/>
      <c r="X30" s="148"/>
      <c r="Y30" s="121" t="str">
        <f t="shared" si="30"/>
        <v>-</v>
      </c>
      <c r="Z30" s="121" t="str">
        <f t="shared" si="31"/>
        <v>-</v>
      </c>
    </row>
    <row r="31" spans="1:26" ht="17.399999999999999" x14ac:dyDescent="0.35">
      <c r="C31" s="56" t="s">
        <v>78</v>
      </c>
      <c r="D31" s="57">
        <f t="shared" si="32"/>
        <v>0</v>
      </c>
      <c r="E31" s="56">
        <v>3</v>
      </c>
      <c r="F31" s="58">
        <f t="shared" si="25"/>
        <v>9</v>
      </c>
      <c r="G31" s="58">
        <f t="shared" si="33"/>
        <v>4</v>
      </c>
      <c r="H31" s="59" t="str">
        <f t="shared" si="26"/>
        <v>T_03</v>
      </c>
      <c r="I31" s="59" t="str">
        <f t="shared" si="27"/>
        <v>T_08</v>
      </c>
      <c r="J31" s="59">
        <f t="shared" ref="J31:J33" si="35">J30</f>
        <v>1</v>
      </c>
      <c r="K31" s="60">
        <f t="shared" si="34"/>
        <v>43833</v>
      </c>
      <c r="P31"/>
      <c r="Q31" s="122">
        <v>3</v>
      </c>
      <c r="R31" s="122" t="str">
        <f t="shared" ca="1" si="28"/>
        <v>Christiansfelt</v>
      </c>
      <c r="S31" s="122" t="str">
        <f t="shared" ca="1" si="29"/>
        <v>Holeby</v>
      </c>
      <c r="T31" s="134"/>
      <c r="U31" s="123" t="str">
        <f>IFERROR(U30+mMin,"-")</f>
        <v>-</v>
      </c>
      <c r="V31" s="146"/>
      <c r="W31" s="147"/>
      <c r="X31" s="148"/>
      <c r="Y31" s="121" t="str">
        <f t="shared" si="30"/>
        <v>-</v>
      </c>
      <c r="Z31" s="121" t="str">
        <f t="shared" si="31"/>
        <v>-</v>
      </c>
    </row>
    <row r="32" spans="1:26" ht="17.399999999999999" x14ac:dyDescent="0.35">
      <c r="C32" s="56" t="s">
        <v>79</v>
      </c>
      <c r="D32" s="57">
        <f t="shared" si="32"/>
        <v>0</v>
      </c>
      <c r="E32" s="56">
        <v>4</v>
      </c>
      <c r="F32" s="58">
        <f t="shared" si="25"/>
        <v>8</v>
      </c>
      <c r="G32" s="58">
        <f t="shared" si="33"/>
        <v>5</v>
      </c>
      <c r="H32" s="59" t="str">
        <f t="shared" si="26"/>
        <v>T_04</v>
      </c>
      <c r="I32" s="59" t="str">
        <f t="shared" si="27"/>
        <v>T_07</v>
      </c>
      <c r="J32" s="59">
        <f t="shared" si="35"/>
        <v>1</v>
      </c>
      <c r="K32" s="60">
        <f t="shared" si="34"/>
        <v>43833</v>
      </c>
      <c r="P32"/>
      <c r="Q32" s="122">
        <v>4</v>
      </c>
      <c r="R32" s="122" t="str">
        <f t="shared" ca="1" si="28"/>
        <v>Dragør</v>
      </c>
      <c r="S32" s="122" t="str">
        <f t="shared" ca="1" si="29"/>
        <v>Glamsbjerg</v>
      </c>
      <c r="T32" s="134"/>
      <c r="U32" s="123" t="str">
        <f>IFERROR(U31+mMin,"-")</f>
        <v>-</v>
      </c>
      <c r="V32" s="146"/>
      <c r="W32" s="147"/>
      <c r="X32" s="148"/>
      <c r="Y32" s="121" t="str">
        <f t="shared" si="30"/>
        <v>-</v>
      </c>
      <c r="Z32" s="121" t="str">
        <f t="shared" si="31"/>
        <v>-</v>
      </c>
    </row>
    <row r="33" spans="3:26" ht="18" thickBot="1" x14ac:dyDescent="0.4">
      <c r="C33" s="56" t="s">
        <v>80</v>
      </c>
      <c r="D33" s="57">
        <f t="shared" si="32"/>
        <v>0</v>
      </c>
      <c r="E33" s="56">
        <v>5</v>
      </c>
      <c r="F33" s="58">
        <f t="shared" si="25"/>
        <v>7</v>
      </c>
      <c r="G33" s="58">
        <f t="shared" si="33"/>
        <v>6</v>
      </c>
      <c r="H33" s="59" t="str">
        <f t="shared" si="26"/>
        <v>T_05</v>
      </c>
      <c r="I33" s="59" t="str">
        <f t="shared" si="27"/>
        <v>T_06</v>
      </c>
      <c r="J33" s="59">
        <f t="shared" si="35"/>
        <v>1</v>
      </c>
      <c r="K33" s="60">
        <f t="shared" si="34"/>
        <v>43833</v>
      </c>
      <c r="P33"/>
      <c r="Q33" s="124">
        <v>5</v>
      </c>
      <c r="R33" s="124" t="str">
        <f t="shared" ca="1" si="28"/>
        <v>Ejby</v>
      </c>
      <c r="S33" s="124" t="str">
        <f t="shared" ca="1" si="29"/>
        <v>Fjerritslev</v>
      </c>
      <c r="T33" s="135"/>
      <c r="U33" s="125" t="str">
        <f>IFERROR(U32+mMin,"-")</f>
        <v>-</v>
      </c>
      <c r="V33" s="149"/>
      <c r="W33" s="150"/>
      <c r="X33" s="151"/>
      <c r="Y33" s="126" t="str">
        <f t="shared" si="30"/>
        <v>-</v>
      </c>
      <c r="Z33" s="126" t="str">
        <f t="shared" si="31"/>
        <v>-</v>
      </c>
    </row>
    <row r="34" spans="3:26" ht="17.399999999999999" x14ac:dyDescent="0.35">
      <c r="C34" s="56" t="s">
        <v>81</v>
      </c>
      <c r="D34" s="57">
        <f t="shared" si="32"/>
        <v>0</v>
      </c>
      <c r="E34" s="56">
        <v>6</v>
      </c>
      <c r="F34" s="58">
        <f t="shared" si="25"/>
        <v>2</v>
      </c>
      <c r="G34" s="58">
        <f t="shared" si="33"/>
        <v>10</v>
      </c>
      <c r="H34" s="59" t="str">
        <f t="shared" si="26"/>
        <v>T_09</v>
      </c>
      <c r="I34" s="59" t="str">
        <f t="shared" si="27"/>
        <v>T_01</v>
      </c>
      <c r="J34" s="59">
        <f>J29+1</f>
        <v>2</v>
      </c>
      <c r="K34" s="60">
        <f t="shared" si="34"/>
        <v>43834</v>
      </c>
      <c r="P34"/>
      <c r="Q34" s="122">
        <v>6</v>
      </c>
      <c r="R34" s="122" t="str">
        <f t="shared" ca="1" si="28"/>
        <v>Indre By</v>
      </c>
      <c r="S34" s="122" t="str">
        <f t="shared" ca="1" si="29"/>
        <v>Assens</v>
      </c>
      <c r="T34" s="134"/>
      <c r="U34" s="123" t="s">
        <v>33</v>
      </c>
      <c r="V34" s="146"/>
      <c r="W34" s="147"/>
      <c r="X34" s="148"/>
      <c r="Y34" s="121" t="str">
        <f t="shared" si="30"/>
        <v>-</v>
      </c>
      <c r="Z34" s="121" t="str">
        <f t="shared" si="31"/>
        <v>-</v>
      </c>
    </row>
    <row r="35" spans="3:26" ht="17.399999999999999" x14ac:dyDescent="0.35">
      <c r="C35" s="56" t="s">
        <v>82</v>
      </c>
      <c r="D35" s="57">
        <f t="shared" si="32"/>
        <v>0</v>
      </c>
      <c r="E35" s="56">
        <v>7</v>
      </c>
      <c r="F35" s="58">
        <f t="shared" si="25"/>
        <v>9</v>
      </c>
      <c r="G35" s="58">
        <f t="shared" si="33"/>
        <v>11</v>
      </c>
      <c r="H35" s="59" t="str">
        <f t="shared" si="26"/>
        <v>T_10</v>
      </c>
      <c r="I35" s="59" t="str">
        <f t="shared" si="27"/>
        <v>T_08</v>
      </c>
      <c r="J35" s="59">
        <f>J34</f>
        <v>2</v>
      </c>
      <c r="K35" s="60">
        <f t="shared" si="34"/>
        <v>43834</v>
      </c>
      <c r="P35"/>
      <c r="Q35" s="122">
        <v>7</v>
      </c>
      <c r="R35" s="122" t="str">
        <f t="shared" ca="1" si="28"/>
        <v>Jullerup</v>
      </c>
      <c r="S35" s="122" t="str">
        <f t="shared" ca="1" si="29"/>
        <v>Holeby</v>
      </c>
      <c r="T35" s="134"/>
      <c r="U35" s="123" t="str">
        <f>IFERROR(U34+mMin,"-")</f>
        <v>-</v>
      </c>
      <c r="V35" s="146"/>
      <c r="W35" s="147"/>
      <c r="X35" s="148"/>
      <c r="Y35" s="121" t="str">
        <f t="shared" si="30"/>
        <v>-</v>
      </c>
      <c r="Z35" s="121" t="str">
        <f t="shared" si="31"/>
        <v>-</v>
      </c>
    </row>
    <row r="36" spans="3:26" ht="17.399999999999999" x14ac:dyDescent="0.35">
      <c r="C36" s="56" t="s">
        <v>83</v>
      </c>
      <c r="D36" s="57">
        <f t="shared" si="32"/>
        <v>0</v>
      </c>
      <c r="E36" s="56">
        <v>8</v>
      </c>
      <c r="F36" s="58">
        <f t="shared" si="25"/>
        <v>8</v>
      </c>
      <c r="G36" s="58">
        <f t="shared" si="33"/>
        <v>3</v>
      </c>
      <c r="H36" s="59" t="str">
        <f t="shared" si="26"/>
        <v>T_02</v>
      </c>
      <c r="I36" s="59" t="str">
        <f t="shared" si="27"/>
        <v>T_07</v>
      </c>
      <c r="J36" s="59">
        <f t="shared" ref="J36:J38" si="36">J35</f>
        <v>2</v>
      </c>
      <c r="K36" s="60">
        <f t="shared" si="34"/>
        <v>43834</v>
      </c>
      <c r="P36"/>
      <c r="Q36" s="122">
        <v>8</v>
      </c>
      <c r="R36" s="122" t="str">
        <f t="shared" ca="1" si="28"/>
        <v>Bogense</v>
      </c>
      <c r="S36" s="122" t="str">
        <f t="shared" ca="1" si="29"/>
        <v>Glamsbjerg</v>
      </c>
      <c r="T36" s="134"/>
      <c r="U36" s="123" t="str">
        <f>IFERROR(U35+mMin,"-")</f>
        <v>-</v>
      </c>
      <c r="V36" s="146"/>
      <c r="W36" s="147"/>
      <c r="X36" s="148"/>
      <c r="Y36" s="121" t="str">
        <f t="shared" si="30"/>
        <v>-</v>
      </c>
      <c r="Z36" s="121" t="str">
        <f t="shared" si="31"/>
        <v>-</v>
      </c>
    </row>
    <row r="37" spans="3:26" ht="17.399999999999999" x14ac:dyDescent="0.35">
      <c r="C37" s="56" t="s">
        <v>84</v>
      </c>
      <c r="D37" s="57">
        <f t="shared" si="32"/>
        <v>0</v>
      </c>
      <c r="E37" s="56">
        <v>9</v>
      </c>
      <c r="F37" s="58">
        <f t="shared" si="25"/>
        <v>7</v>
      </c>
      <c r="G37" s="58">
        <f t="shared" si="33"/>
        <v>4</v>
      </c>
      <c r="H37" s="59" t="str">
        <f t="shared" si="26"/>
        <v>T_03</v>
      </c>
      <c r="I37" s="59" t="str">
        <f t="shared" si="27"/>
        <v>T_06</v>
      </c>
      <c r="J37" s="59">
        <f t="shared" si="36"/>
        <v>2</v>
      </c>
      <c r="K37" s="60">
        <f t="shared" si="34"/>
        <v>43834</v>
      </c>
      <c r="P37"/>
      <c r="Q37" s="122">
        <v>9</v>
      </c>
      <c r="R37" s="122" t="str">
        <f t="shared" ca="1" si="28"/>
        <v>Christiansfelt</v>
      </c>
      <c r="S37" s="122" t="str">
        <f t="shared" ca="1" si="29"/>
        <v>Fjerritslev</v>
      </c>
      <c r="T37" s="134"/>
      <c r="U37" s="123" t="str">
        <f>IFERROR(U36+mMin,"-")</f>
        <v>-</v>
      </c>
      <c r="V37" s="146"/>
      <c r="W37" s="147"/>
      <c r="X37" s="148"/>
      <c r="Y37" s="121" t="str">
        <f t="shared" si="30"/>
        <v>-</v>
      </c>
      <c r="Z37" s="121" t="str">
        <f t="shared" si="31"/>
        <v>-</v>
      </c>
    </row>
    <row r="38" spans="3:26" ht="18" thickBot="1" x14ac:dyDescent="0.4">
      <c r="C38" s="56" t="s">
        <v>85</v>
      </c>
      <c r="D38" s="57">
        <f t="shared" si="32"/>
        <v>0</v>
      </c>
      <c r="E38" s="56">
        <v>10</v>
      </c>
      <c r="F38" s="58">
        <f t="shared" si="25"/>
        <v>6</v>
      </c>
      <c r="G38" s="58">
        <f t="shared" si="33"/>
        <v>5</v>
      </c>
      <c r="H38" s="59" t="str">
        <f t="shared" si="26"/>
        <v>T_04</v>
      </c>
      <c r="I38" s="59" t="str">
        <f t="shared" si="27"/>
        <v>T_05</v>
      </c>
      <c r="J38" s="59">
        <f t="shared" si="36"/>
        <v>2</v>
      </c>
      <c r="K38" s="60">
        <f t="shared" si="34"/>
        <v>43834</v>
      </c>
      <c r="P38"/>
      <c r="Q38" s="124">
        <v>10</v>
      </c>
      <c r="R38" s="124" t="str">
        <f t="shared" ca="1" si="28"/>
        <v>Dragør</v>
      </c>
      <c r="S38" s="124" t="str">
        <f t="shared" ca="1" si="29"/>
        <v>Ejby</v>
      </c>
      <c r="T38" s="135"/>
      <c r="U38" s="125" t="str">
        <f>IFERROR(U37+mMin,"-")</f>
        <v>-</v>
      </c>
      <c r="V38" s="149"/>
      <c r="W38" s="150"/>
      <c r="X38" s="151"/>
      <c r="Y38" s="126" t="str">
        <f t="shared" si="30"/>
        <v>-</v>
      </c>
      <c r="Z38" s="126" t="str">
        <f t="shared" si="31"/>
        <v>-</v>
      </c>
    </row>
    <row r="39" spans="3:26" ht="17.399999999999999" x14ac:dyDescent="0.35">
      <c r="C39" s="56" t="s">
        <v>86</v>
      </c>
      <c r="D39" s="57">
        <f t="shared" si="32"/>
        <v>0</v>
      </c>
      <c r="E39" s="56">
        <v>11</v>
      </c>
      <c r="F39" s="58">
        <f t="shared" si="25"/>
        <v>9</v>
      </c>
      <c r="G39" s="58">
        <f t="shared" si="33"/>
        <v>2</v>
      </c>
      <c r="H39" s="59" t="str">
        <f t="shared" si="26"/>
        <v>T_01</v>
      </c>
      <c r="I39" s="59" t="str">
        <f t="shared" si="27"/>
        <v>T_08</v>
      </c>
      <c r="J39" s="59">
        <f>J34+1</f>
        <v>3</v>
      </c>
      <c r="K39" s="60">
        <f t="shared" si="34"/>
        <v>43835</v>
      </c>
      <c r="P39"/>
      <c r="Q39" s="122">
        <v>11</v>
      </c>
      <c r="R39" s="122" t="str">
        <f t="shared" ca="1" si="28"/>
        <v>Assens</v>
      </c>
      <c r="S39" s="122" t="str">
        <f t="shared" ca="1" si="29"/>
        <v>Holeby</v>
      </c>
      <c r="T39" s="134"/>
      <c r="U39" s="123" t="s">
        <v>33</v>
      </c>
      <c r="V39" s="146"/>
      <c r="W39" s="147"/>
      <c r="X39" s="148"/>
      <c r="Y39" s="121" t="str">
        <f t="shared" si="30"/>
        <v>-</v>
      </c>
      <c r="Z39" s="121" t="str">
        <f t="shared" si="31"/>
        <v>-</v>
      </c>
    </row>
    <row r="40" spans="3:26" ht="17.399999999999999" x14ac:dyDescent="0.35">
      <c r="C40" s="56" t="s">
        <v>87</v>
      </c>
      <c r="D40" s="57">
        <f t="shared" si="32"/>
        <v>0</v>
      </c>
      <c r="E40" s="56">
        <v>12</v>
      </c>
      <c r="F40" s="58">
        <f t="shared" si="25"/>
        <v>8</v>
      </c>
      <c r="G40" s="58">
        <f t="shared" si="33"/>
        <v>10</v>
      </c>
      <c r="H40" s="59" t="str">
        <f t="shared" si="26"/>
        <v>T_09</v>
      </c>
      <c r="I40" s="59" t="str">
        <f t="shared" si="27"/>
        <v>T_07</v>
      </c>
      <c r="J40" s="59">
        <f>J39</f>
        <v>3</v>
      </c>
      <c r="K40" s="60">
        <f t="shared" si="34"/>
        <v>43835</v>
      </c>
      <c r="P40"/>
      <c r="Q40" s="122">
        <v>12</v>
      </c>
      <c r="R40" s="122" t="str">
        <f t="shared" ca="1" si="28"/>
        <v>Indre By</v>
      </c>
      <c r="S40" s="122" t="str">
        <f t="shared" ca="1" si="29"/>
        <v>Glamsbjerg</v>
      </c>
      <c r="T40" s="134"/>
      <c r="U40" s="123" t="str">
        <f>IFERROR(U39+mMin,"-")</f>
        <v>-</v>
      </c>
      <c r="V40" s="146"/>
      <c r="W40" s="147"/>
      <c r="X40" s="148"/>
      <c r="Y40" s="121" t="str">
        <f t="shared" si="30"/>
        <v>-</v>
      </c>
      <c r="Z40" s="121" t="str">
        <f t="shared" si="31"/>
        <v>-</v>
      </c>
    </row>
    <row r="41" spans="3:26" ht="17.399999999999999" x14ac:dyDescent="0.35">
      <c r="C41" s="56" t="s">
        <v>88</v>
      </c>
      <c r="D41" s="57">
        <f t="shared" si="32"/>
        <v>0</v>
      </c>
      <c r="E41" s="56">
        <v>13</v>
      </c>
      <c r="F41" s="58">
        <f t="shared" si="25"/>
        <v>7</v>
      </c>
      <c r="G41" s="58">
        <f t="shared" si="33"/>
        <v>11</v>
      </c>
      <c r="H41" s="59" t="str">
        <f t="shared" si="26"/>
        <v>T_10</v>
      </c>
      <c r="I41" s="59" t="str">
        <f t="shared" si="27"/>
        <v>T_06</v>
      </c>
      <c r="J41" s="59">
        <f t="shared" ref="J41:J43" si="37">J40</f>
        <v>3</v>
      </c>
      <c r="K41" s="60">
        <f t="shared" si="34"/>
        <v>43835</v>
      </c>
      <c r="P41"/>
      <c r="Q41" s="122">
        <v>13</v>
      </c>
      <c r="R41" s="122" t="str">
        <f t="shared" ca="1" si="28"/>
        <v>Jullerup</v>
      </c>
      <c r="S41" s="122" t="str">
        <f t="shared" ca="1" si="29"/>
        <v>Fjerritslev</v>
      </c>
      <c r="T41" s="134"/>
      <c r="U41" s="123" t="str">
        <f>IFERROR(U40+mMin,"-")</f>
        <v>-</v>
      </c>
      <c r="V41" s="146"/>
      <c r="W41" s="147"/>
      <c r="X41" s="148"/>
      <c r="Y41" s="121" t="str">
        <f t="shared" si="30"/>
        <v>-</v>
      </c>
      <c r="Z41" s="121" t="str">
        <f t="shared" si="31"/>
        <v>-</v>
      </c>
    </row>
    <row r="42" spans="3:26" ht="17.399999999999999" x14ac:dyDescent="0.35">
      <c r="C42" s="56" t="s">
        <v>89</v>
      </c>
      <c r="D42" s="57">
        <f t="shared" si="32"/>
        <v>0</v>
      </c>
      <c r="E42" s="56">
        <v>14</v>
      </c>
      <c r="F42" s="58">
        <f t="shared" si="25"/>
        <v>6</v>
      </c>
      <c r="G42" s="58">
        <f t="shared" si="33"/>
        <v>3</v>
      </c>
      <c r="H42" s="59" t="str">
        <f t="shared" si="26"/>
        <v>T_02</v>
      </c>
      <c r="I42" s="59" t="str">
        <f t="shared" si="27"/>
        <v>T_05</v>
      </c>
      <c r="J42" s="59">
        <f t="shared" si="37"/>
        <v>3</v>
      </c>
      <c r="K42" s="60">
        <f t="shared" si="34"/>
        <v>43835</v>
      </c>
      <c r="P42"/>
      <c r="Q42" s="122">
        <v>14</v>
      </c>
      <c r="R42" s="122" t="str">
        <f t="shared" ca="1" si="28"/>
        <v>Bogense</v>
      </c>
      <c r="S42" s="122" t="str">
        <f t="shared" ca="1" si="29"/>
        <v>Ejby</v>
      </c>
      <c r="T42" s="134"/>
      <c r="U42" s="123" t="str">
        <f>IFERROR(U41+mMin,"-")</f>
        <v>-</v>
      </c>
      <c r="V42" s="146"/>
      <c r="W42" s="147"/>
      <c r="X42" s="148"/>
      <c r="Y42" s="121" t="str">
        <f t="shared" si="30"/>
        <v>-</v>
      </c>
      <c r="Z42" s="121" t="str">
        <f t="shared" si="31"/>
        <v>-</v>
      </c>
    </row>
    <row r="43" spans="3:26" ht="18" thickBot="1" x14ac:dyDescent="0.4">
      <c r="C43" s="56" t="s">
        <v>90</v>
      </c>
      <c r="D43" s="57">
        <f t="shared" si="32"/>
        <v>0</v>
      </c>
      <c r="E43" s="56">
        <v>15</v>
      </c>
      <c r="F43" s="58">
        <f t="shared" si="25"/>
        <v>5</v>
      </c>
      <c r="G43" s="58">
        <f t="shared" si="33"/>
        <v>4</v>
      </c>
      <c r="H43" s="59" t="str">
        <f t="shared" si="26"/>
        <v>T_03</v>
      </c>
      <c r="I43" s="59" t="str">
        <f t="shared" si="27"/>
        <v>T_04</v>
      </c>
      <c r="J43" s="59">
        <f t="shared" si="37"/>
        <v>3</v>
      </c>
      <c r="K43" s="60">
        <f t="shared" si="34"/>
        <v>43835</v>
      </c>
      <c r="P43"/>
      <c r="Q43" s="124">
        <v>15</v>
      </c>
      <c r="R43" s="124" t="str">
        <f t="shared" ca="1" si="28"/>
        <v>Christiansfelt</v>
      </c>
      <c r="S43" s="124" t="str">
        <f t="shared" ca="1" si="29"/>
        <v>Dragør</v>
      </c>
      <c r="T43" s="135"/>
      <c r="U43" s="125" t="str">
        <f>IFERROR(U42+mMin,"-")</f>
        <v>-</v>
      </c>
      <c r="V43" s="149"/>
      <c r="W43" s="150"/>
      <c r="X43" s="151"/>
      <c r="Y43" s="126" t="str">
        <f t="shared" si="30"/>
        <v>-</v>
      </c>
      <c r="Z43" s="126" t="str">
        <f t="shared" si="31"/>
        <v>-</v>
      </c>
    </row>
    <row r="44" spans="3:26" ht="17.399999999999999" x14ac:dyDescent="0.35">
      <c r="C44" s="56" t="s">
        <v>91</v>
      </c>
      <c r="D44" s="57">
        <f t="shared" si="32"/>
        <v>0</v>
      </c>
      <c r="E44" s="56">
        <v>16</v>
      </c>
      <c r="F44" s="58">
        <f t="shared" si="25"/>
        <v>2</v>
      </c>
      <c r="G44" s="58">
        <f t="shared" si="33"/>
        <v>8</v>
      </c>
      <c r="H44" s="59" t="str">
        <f t="shared" si="26"/>
        <v>T_07</v>
      </c>
      <c r="I44" s="59" t="str">
        <f t="shared" si="27"/>
        <v>T_01</v>
      </c>
      <c r="J44" s="59">
        <f t="shared" ref="J44" si="38">J39+1</f>
        <v>4</v>
      </c>
      <c r="K44" s="60">
        <f t="shared" si="34"/>
        <v>43836</v>
      </c>
      <c r="P44"/>
      <c r="Q44" s="122">
        <v>16</v>
      </c>
      <c r="R44" s="122" t="str">
        <f t="shared" ca="1" si="28"/>
        <v>Glamsbjerg</v>
      </c>
      <c r="S44" s="122" t="str">
        <f t="shared" ca="1" si="29"/>
        <v>Assens</v>
      </c>
      <c r="T44" s="134"/>
      <c r="U44" s="123" t="s">
        <v>33</v>
      </c>
      <c r="V44" s="146"/>
      <c r="W44" s="147"/>
      <c r="X44" s="148"/>
      <c r="Y44" s="121" t="str">
        <f t="shared" si="30"/>
        <v>-</v>
      </c>
      <c r="Z44" s="121" t="str">
        <f t="shared" si="31"/>
        <v>-</v>
      </c>
    </row>
    <row r="45" spans="3:26" ht="17.399999999999999" x14ac:dyDescent="0.35">
      <c r="C45" s="56" t="s">
        <v>92</v>
      </c>
      <c r="D45" s="57">
        <f t="shared" si="32"/>
        <v>0</v>
      </c>
      <c r="E45" s="56">
        <v>17</v>
      </c>
      <c r="F45" s="58">
        <f t="shared" si="25"/>
        <v>7</v>
      </c>
      <c r="G45" s="58">
        <f t="shared" si="33"/>
        <v>9</v>
      </c>
      <c r="H45" s="59" t="str">
        <f t="shared" si="26"/>
        <v>T_08</v>
      </c>
      <c r="I45" s="59" t="str">
        <f t="shared" si="27"/>
        <v>T_06</v>
      </c>
      <c r="J45" s="59">
        <f t="shared" ref="J45:J108" si="39">J44</f>
        <v>4</v>
      </c>
      <c r="K45" s="60">
        <f t="shared" si="34"/>
        <v>43836</v>
      </c>
      <c r="P45"/>
      <c r="Q45" s="122">
        <v>17</v>
      </c>
      <c r="R45" s="122" t="str">
        <f t="shared" ca="1" si="28"/>
        <v>Holeby</v>
      </c>
      <c r="S45" s="122" t="str">
        <f t="shared" ca="1" si="29"/>
        <v>Fjerritslev</v>
      </c>
      <c r="T45" s="134"/>
      <c r="U45" s="123" t="str">
        <f>IFERROR(U44+mMin,"-")</f>
        <v>-</v>
      </c>
      <c r="V45" s="146"/>
      <c r="W45" s="147"/>
      <c r="X45" s="148"/>
      <c r="Y45" s="121" t="str">
        <f t="shared" si="30"/>
        <v>-</v>
      </c>
      <c r="Z45" s="121" t="str">
        <f t="shared" si="31"/>
        <v>-</v>
      </c>
    </row>
    <row r="46" spans="3:26" ht="17.399999999999999" x14ac:dyDescent="0.35">
      <c r="C46" s="56" t="s">
        <v>93</v>
      </c>
      <c r="D46" s="57">
        <f t="shared" si="32"/>
        <v>0</v>
      </c>
      <c r="E46" s="56">
        <v>18</v>
      </c>
      <c r="F46" s="58">
        <f t="shared" si="25"/>
        <v>6</v>
      </c>
      <c r="G46" s="58">
        <f t="shared" si="33"/>
        <v>10</v>
      </c>
      <c r="H46" s="59" t="str">
        <f t="shared" si="26"/>
        <v>T_09</v>
      </c>
      <c r="I46" s="59" t="str">
        <f t="shared" si="27"/>
        <v>T_05</v>
      </c>
      <c r="J46" s="59">
        <f t="shared" si="39"/>
        <v>4</v>
      </c>
      <c r="K46" s="60">
        <f t="shared" si="34"/>
        <v>43836</v>
      </c>
      <c r="P46"/>
      <c r="Q46" s="122">
        <v>18</v>
      </c>
      <c r="R46" s="122" t="str">
        <f t="shared" ca="1" si="28"/>
        <v>Indre By</v>
      </c>
      <c r="S46" s="122" t="str">
        <f t="shared" ca="1" si="29"/>
        <v>Ejby</v>
      </c>
      <c r="T46" s="134"/>
      <c r="U46" s="123" t="str">
        <f>IFERROR(U45+mMin,"-")</f>
        <v>-</v>
      </c>
      <c r="V46" s="146"/>
      <c r="W46" s="147"/>
      <c r="X46" s="148"/>
      <c r="Y46" s="121" t="str">
        <f t="shared" si="30"/>
        <v>-</v>
      </c>
      <c r="Z46" s="121" t="str">
        <f t="shared" si="31"/>
        <v>-</v>
      </c>
    </row>
    <row r="47" spans="3:26" ht="17.399999999999999" x14ac:dyDescent="0.35">
      <c r="C47" s="56" t="s">
        <v>94</v>
      </c>
      <c r="D47" s="57">
        <f t="shared" si="32"/>
        <v>0</v>
      </c>
      <c r="E47" s="56">
        <v>19</v>
      </c>
      <c r="F47" s="58">
        <f t="shared" si="25"/>
        <v>5</v>
      </c>
      <c r="G47" s="58">
        <f t="shared" si="33"/>
        <v>11</v>
      </c>
      <c r="H47" s="59" t="str">
        <f t="shared" si="26"/>
        <v>T_10</v>
      </c>
      <c r="I47" s="59" t="str">
        <f t="shared" si="27"/>
        <v>T_04</v>
      </c>
      <c r="J47" s="59">
        <f t="shared" si="39"/>
        <v>4</v>
      </c>
      <c r="K47" s="60">
        <f t="shared" si="34"/>
        <v>43836</v>
      </c>
      <c r="P47"/>
      <c r="Q47" s="122">
        <v>19</v>
      </c>
      <c r="R47" s="122" t="str">
        <f t="shared" ca="1" si="28"/>
        <v>Jullerup</v>
      </c>
      <c r="S47" s="122" t="str">
        <f t="shared" ca="1" si="29"/>
        <v>Dragør</v>
      </c>
      <c r="T47" s="134"/>
      <c r="U47" s="123" t="str">
        <f>IFERROR(U46+mMin,"-")</f>
        <v>-</v>
      </c>
      <c r="V47" s="146"/>
      <c r="W47" s="147"/>
      <c r="X47" s="148"/>
      <c r="Y47" s="121" t="str">
        <f t="shared" si="30"/>
        <v>-</v>
      </c>
      <c r="Z47" s="121" t="str">
        <f t="shared" si="31"/>
        <v>-</v>
      </c>
    </row>
    <row r="48" spans="3:26" ht="18" thickBot="1" x14ac:dyDescent="0.4">
      <c r="C48" s="56" t="s">
        <v>95</v>
      </c>
      <c r="D48" s="57">
        <f t="shared" si="32"/>
        <v>0</v>
      </c>
      <c r="E48" s="56">
        <v>20</v>
      </c>
      <c r="F48" s="58">
        <f t="shared" si="25"/>
        <v>4</v>
      </c>
      <c r="G48" s="58">
        <f t="shared" si="33"/>
        <v>3</v>
      </c>
      <c r="H48" s="59" t="str">
        <f t="shared" si="26"/>
        <v>T_02</v>
      </c>
      <c r="I48" s="59" t="str">
        <f t="shared" si="27"/>
        <v>T_03</v>
      </c>
      <c r="J48" s="59">
        <f t="shared" si="39"/>
        <v>4</v>
      </c>
      <c r="K48" s="60">
        <f t="shared" si="34"/>
        <v>43836</v>
      </c>
      <c r="P48"/>
      <c r="Q48" s="124">
        <v>20</v>
      </c>
      <c r="R48" s="124" t="str">
        <f t="shared" ca="1" si="28"/>
        <v>Bogense</v>
      </c>
      <c r="S48" s="124" t="str">
        <f t="shared" ca="1" si="29"/>
        <v>Christiansfelt</v>
      </c>
      <c r="T48" s="135"/>
      <c r="U48" s="125" t="str">
        <f>IFERROR(U47+mMin,"-")</f>
        <v>-</v>
      </c>
      <c r="V48" s="149"/>
      <c r="W48" s="150"/>
      <c r="X48" s="151"/>
      <c r="Y48" s="126" t="str">
        <f t="shared" si="30"/>
        <v>-</v>
      </c>
      <c r="Z48" s="126" t="str">
        <f t="shared" si="31"/>
        <v>-</v>
      </c>
    </row>
    <row r="49" spans="3:26" ht="17.399999999999999" x14ac:dyDescent="0.35">
      <c r="C49" s="56" t="s">
        <v>96</v>
      </c>
      <c r="D49" s="57">
        <f t="shared" si="32"/>
        <v>0</v>
      </c>
      <c r="E49" s="56">
        <v>21</v>
      </c>
      <c r="F49" s="58">
        <f t="shared" si="25"/>
        <v>7</v>
      </c>
      <c r="G49" s="58">
        <f t="shared" si="33"/>
        <v>2</v>
      </c>
      <c r="H49" s="59" t="str">
        <f t="shared" si="26"/>
        <v>T_01</v>
      </c>
      <c r="I49" s="59" t="str">
        <f t="shared" si="27"/>
        <v>T_06</v>
      </c>
      <c r="J49" s="59">
        <f t="shared" ref="J49" si="40">J44+1</f>
        <v>5</v>
      </c>
      <c r="K49" s="60">
        <f t="shared" si="34"/>
        <v>43837</v>
      </c>
      <c r="P49"/>
      <c r="Q49" s="122">
        <v>21</v>
      </c>
      <c r="R49" s="122" t="str">
        <f t="shared" ca="1" si="28"/>
        <v>Assens</v>
      </c>
      <c r="S49" s="122" t="str">
        <f t="shared" ca="1" si="29"/>
        <v>Fjerritslev</v>
      </c>
      <c r="T49" s="134"/>
      <c r="U49" s="123" t="s">
        <v>33</v>
      </c>
      <c r="V49" s="146"/>
      <c r="W49" s="147"/>
      <c r="X49" s="148"/>
      <c r="Y49" s="121" t="str">
        <f t="shared" si="30"/>
        <v>-</v>
      </c>
      <c r="Z49" s="121" t="str">
        <f t="shared" si="31"/>
        <v>-</v>
      </c>
    </row>
    <row r="50" spans="3:26" ht="17.399999999999999" x14ac:dyDescent="0.35">
      <c r="C50" s="56" t="s">
        <v>97</v>
      </c>
      <c r="D50" s="57">
        <f t="shared" si="32"/>
        <v>0</v>
      </c>
      <c r="E50" s="56">
        <v>22</v>
      </c>
      <c r="F50" s="58">
        <f t="shared" si="25"/>
        <v>6</v>
      </c>
      <c r="G50" s="58">
        <f t="shared" si="33"/>
        <v>8</v>
      </c>
      <c r="H50" s="59" t="str">
        <f t="shared" si="26"/>
        <v>T_07</v>
      </c>
      <c r="I50" s="59" t="str">
        <f t="shared" si="27"/>
        <v>T_05</v>
      </c>
      <c r="J50" s="59">
        <f t="shared" ref="J50" si="41">J49</f>
        <v>5</v>
      </c>
      <c r="K50" s="60">
        <f t="shared" si="34"/>
        <v>43837</v>
      </c>
      <c r="P50"/>
      <c r="Q50" s="122">
        <v>22</v>
      </c>
      <c r="R50" s="122" t="str">
        <f t="shared" ca="1" si="28"/>
        <v>Glamsbjerg</v>
      </c>
      <c r="S50" s="122" t="str">
        <f t="shared" ca="1" si="29"/>
        <v>Ejby</v>
      </c>
      <c r="T50" s="134"/>
      <c r="U50" s="123" t="str">
        <f>IFERROR(U49+mMin,"-")</f>
        <v>-</v>
      </c>
      <c r="V50" s="146"/>
      <c r="W50" s="147"/>
      <c r="X50" s="148"/>
      <c r="Y50" s="121" t="str">
        <f t="shared" si="30"/>
        <v>-</v>
      </c>
      <c r="Z50" s="121" t="str">
        <f t="shared" si="31"/>
        <v>-</v>
      </c>
    </row>
    <row r="51" spans="3:26" ht="17.399999999999999" x14ac:dyDescent="0.35">
      <c r="C51" s="56" t="s">
        <v>98</v>
      </c>
      <c r="D51" s="57">
        <f t="shared" si="32"/>
        <v>0</v>
      </c>
      <c r="E51" s="56">
        <v>23</v>
      </c>
      <c r="F51" s="58">
        <f t="shared" si="25"/>
        <v>5</v>
      </c>
      <c r="G51" s="58">
        <f t="shared" si="33"/>
        <v>9</v>
      </c>
      <c r="H51" s="59" t="str">
        <f t="shared" si="26"/>
        <v>T_08</v>
      </c>
      <c r="I51" s="59" t="str">
        <f t="shared" si="27"/>
        <v>T_04</v>
      </c>
      <c r="J51" s="59">
        <f t="shared" si="39"/>
        <v>5</v>
      </c>
      <c r="K51" s="60">
        <f t="shared" si="34"/>
        <v>43837</v>
      </c>
      <c r="P51"/>
      <c r="Q51" s="122">
        <v>23</v>
      </c>
      <c r="R51" s="122" t="str">
        <f t="shared" ca="1" si="28"/>
        <v>Holeby</v>
      </c>
      <c r="S51" s="122" t="str">
        <f t="shared" ca="1" si="29"/>
        <v>Dragør</v>
      </c>
      <c r="T51" s="134"/>
      <c r="U51" s="123" t="str">
        <f>IFERROR(U50+mMin,"-")</f>
        <v>-</v>
      </c>
      <c r="V51" s="146"/>
      <c r="W51" s="147"/>
      <c r="X51" s="148"/>
      <c r="Y51" s="121" t="str">
        <f t="shared" si="30"/>
        <v>-</v>
      </c>
      <c r="Z51" s="121" t="str">
        <f t="shared" si="31"/>
        <v>-</v>
      </c>
    </row>
    <row r="52" spans="3:26" ht="17.399999999999999" x14ac:dyDescent="0.35">
      <c r="C52" s="56" t="s">
        <v>99</v>
      </c>
      <c r="D52" s="57">
        <f t="shared" si="32"/>
        <v>0</v>
      </c>
      <c r="E52" s="56">
        <v>24</v>
      </c>
      <c r="F52" s="58">
        <f t="shared" si="25"/>
        <v>4</v>
      </c>
      <c r="G52" s="58">
        <f t="shared" si="33"/>
        <v>10</v>
      </c>
      <c r="H52" s="59" t="str">
        <f t="shared" si="26"/>
        <v>T_09</v>
      </c>
      <c r="I52" s="59" t="str">
        <f t="shared" si="27"/>
        <v>T_03</v>
      </c>
      <c r="J52" s="59">
        <f t="shared" si="39"/>
        <v>5</v>
      </c>
      <c r="K52" s="60">
        <f t="shared" si="34"/>
        <v>43837</v>
      </c>
      <c r="P52"/>
      <c r="Q52" s="122">
        <v>24</v>
      </c>
      <c r="R52" s="122" t="str">
        <f t="shared" ca="1" si="28"/>
        <v>Indre By</v>
      </c>
      <c r="S52" s="122" t="str">
        <f t="shared" ca="1" si="29"/>
        <v>Christiansfelt</v>
      </c>
      <c r="T52" s="134"/>
      <c r="U52" s="123" t="str">
        <f>IFERROR(U51+mMin,"-")</f>
        <v>-</v>
      </c>
      <c r="V52" s="146"/>
      <c r="W52" s="147"/>
      <c r="X52" s="148"/>
      <c r="Y52" s="121" t="str">
        <f t="shared" si="30"/>
        <v>-</v>
      </c>
      <c r="Z52" s="121" t="str">
        <f t="shared" si="31"/>
        <v>-</v>
      </c>
    </row>
    <row r="53" spans="3:26" ht="18" thickBot="1" x14ac:dyDescent="0.4">
      <c r="C53" s="56" t="s">
        <v>100</v>
      </c>
      <c r="D53" s="57">
        <f t="shared" si="32"/>
        <v>0</v>
      </c>
      <c r="E53" s="56">
        <v>25</v>
      </c>
      <c r="F53" s="58">
        <f t="shared" si="25"/>
        <v>3</v>
      </c>
      <c r="G53" s="58">
        <f t="shared" si="33"/>
        <v>11</v>
      </c>
      <c r="H53" s="59" t="str">
        <f t="shared" si="26"/>
        <v>T_10</v>
      </c>
      <c r="I53" s="59" t="str">
        <f t="shared" si="27"/>
        <v>T_02</v>
      </c>
      <c r="J53" s="59">
        <f t="shared" si="39"/>
        <v>5</v>
      </c>
      <c r="K53" s="60">
        <f t="shared" si="34"/>
        <v>43837</v>
      </c>
      <c r="P53"/>
      <c r="Q53" s="124">
        <v>25</v>
      </c>
      <c r="R53" s="124" t="str">
        <f t="shared" ca="1" si="28"/>
        <v>Jullerup</v>
      </c>
      <c r="S53" s="124" t="str">
        <f t="shared" ca="1" si="29"/>
        <v>Bogense</v>
      </c>
      <c r="T53" s="135"/>
      <c r="U53" s="125" t="str">
        <f>IFERROR(U52+mMin,"-")</f>
        <v>-</v>
      </c>
      <c r="V53" s="149"/>
      <c r="W53" s="150"/>
      <c r="X53" s="151"/>
      <c r="Y53" s="126" t="str">
        <f t="shared" si="30"/>
        <v>-</v>
      </c>
      <c r="Z53" s="126" t="str">
        <f t="shared" si="31"/>
        <v>-</v>
      </c>
    </row>
    <row r="54" spans="3:26" ht="17.399999999999999" x14ac:dyDescent="0.35">
      <c r="C54" s="56" t="s">
        <v>101</v>
      </c>
      <c r="D54" s="57">
        <f t="shared" si="32"/>
        <v>0</v>
      </c>
      <c r="E54" s="56">
        <v>26</v>
      </c>
      <c r="F54" s="58">
        <f t="shared" si="25"/>
        <v>2</v>
      </c>
      <c r="G54" s="58">
        <f t="shared" si="33"/>
        <v>6</v>
      </c>
      <c r="H54" s="59" t="str">
        <f t="shared" si="26"/>
        <v>T_05</v>
      </c>
      <c r="I54" s="59" t="str">
        <f t="shared" si="27"/>
        <v>T_01</v>
      </c>
      <c r="J54" s="59">
        <f t="shared" ref="J54" si="42">J49+1</f>
        <v>6</v>
      </c>
      <c r="K54" s="60">
        <f t="shared" si="34"/>
        <v>43838</v>
      </c>
      <c r="P54"/>
      <c r="Q54" s="122">
        <v>26</v>
      </c>
      <c r="R54" s="122" t="str">
        <f t="shared" ca="1" si="28"/>
        <v>Ejby</v>
      </c>
      <c r="S54" s="122" t="str">
        <f t="shared" ca="1" si="29"/>
        <v>Assens</v>
      </c>
      <c r="T54" s="134"/>
      <c r="U54" s="123" t="s">
        <v>33</v>
      </c>
      <c r="V54" s="146"/>
      <c r="W54" s="147"/>
      <c r="X54" s="148"/>
      <c r="Y54" s="121" t="str">
        <f t="shared" si="30"/>
        <v>-</v>
      </c>
      <c r="Z54" s="121" t="str">
        <f t="shared" si="31"/>
        <v>-</v>
      </c>
    </row>
    <row r="55" spans="3:26" ht="17.399999999999999" x14ac:dyDescent="0.35">
      <c r="C55" s="56" t="s">
        <v>102</v>
      </c>
      <c r="D55" s="57">
        <f t="shared" si="32"/>
        <v>0</v>
      </c>
      <c r="E55" s="56">
        <v>27</v>
      </c>
      <c r="F55" s="58">
        <f t="shared" si="25"/>
        <v>5</v>
      </c>
      <c r="G55" s="58">
        <f t="shared" si="33"/>
        <v>7</v>
      </c>
      <c r="H55" s="59" t="str">
        <f t="shared" si="26"/>
        <v>T_06</v>
      </c>
      <c r="I55" s="59" t="str">
        <f t="shared" si="27"/>
        <v>T_04</v>
      </c>
      <c r="J55" s="59">
        <f t="shared" ref="J55" si="43">J54</f>
        <v>6</v>
      </c>
      <c r="K55" s="60">
        <f t="shared" si="34"/>
        <v>43838</v>
      </c>
      <c r="P55"/>
      <c r="Q55" s="122">
        <v>27</v>
      </c>
      <c r="R55" s="122" t="str">
        <f t="shared" ca="1" si="28"/>
        <v>Fjerritslev</v>
      </c>
      <c r="S55" s="122" t="str">
        <f t="shared" ca="1" si="29"/>
        <v>Dragør</v>
      </c>
      <c r="T55" s="134"/>
      <c r="U55" s="123" t="str">
        <f t="shared" ref="U55:U118" si="44">IFERROR(U54+mMin,"-")</f>
        <v>-</v>
      </c>
      <c r="V55" s="146"/>
      <c r="W55" s="147"/>
      <c r="X55" s="148"/>
      <c r="Y55" s="121" t="str">
        <f t="shared" si="30"/>
        <v>-</v>
      </c>
      <c r="Z55" s="121" t="str">
        <f t="shared" si="31"/>
        <v>-</v>
      </c>
    </row>
    <row r="56" spans="3:26" ht="17.399999999999999" x14ac:dyDescent="0.35">
      <c r="C56" s="56" t="s">
        <v>103</v>
      </c>
      <c r="D56" s="57">
        <f t="shared" si="32"/>
        <v>0</v>
      </c>
      <c r="E56" s="56">
        <v>28</v>
      </c>
      <c r="F56" s="58">
        <f t="shared" si="25"/>
        <v>4</v>
      </c>
      <c r="G56" s="58">
        <f t="shared" si="33"/>
        <v>8</v>
      </c>
      <c r="H56" s="59" t="str">
        <f t="shared" si="26"/>
        <v>T_07</v>
      </c>
      <c r="I56" s="59" t="str">
        <f t="shared" si="27"/>
        <v>T_03</v>
      </c>
      <c r="J56" s="59">
        <f t="shared" si="39"/>
        <v>6</v>
      </c>
      <c r="K56" s="60">
        <f t="shared" si="34"/>
        <v>43838</v>
      </c>
      <c r="P56"/>
      <c r="Q56" s="122">
        <v>28</v>
      </c>
      <c r="R56" s="122" t="str">
        <f t="shared" ca="1" si="28"/>
        <v>Glamsbjerg</v>
      </c>
      <c r="S56" s="122" t="str">
        <f t="shared" ca="1" si="29"/>
        <v>Christiansfelt</v>
      </c>
      <c r="T56" s="134"/>
      <c r="U56" s="123" t="str">
        <f t="shared" si="44"/>
        <v>-</v>
      </c>
      <c r="V56" s="146"/>
      <c r="W56" s="147"/>
      <c r="X56" s="148"/>
      <c r="Y56" s="121" t="str">
        <f t="shared" si="30"/>
        <v>-</v>
      </c>
      <c r="Z56" s="121" t="str">
        <f t="shared" si="31"/>
        <v>-</v>
      </c>
    </row>
    <row r="57" spans="3:26" ht="17.399999999999999" x14ac:dyDescent="0.35">
      <c r="C57" s="56" t="s">
        <v>104</v>
      </c>
      <c r="D57" s="57">
        <f t="shared" si="32"/>
        <v>0</v>
      </c>
      <c r="E57" s="56">
        <v>29</v>
      </c>
      <c r="F57" s="58">
        <f t="shared" si="25"/>
        <v>3</v>
      </c>
      <c r="G57" s="58">
        <f t="shared" si="33"/>
        <v>9</v>
      </c>
      <c r="H57" s="59" t="str">
        <f t="shared" si="26"/>
        <v>T_08</v>
      </c>
      <c r="I57" s="59" t="str">
        <f t="shared" si="27"/>
        <v>T_02</v>
      </c>
      <c r="J57" s="59">
        <f t="shared" si="39"/>
        <v>6</v>
      </c>
      <c r="K57" s="60">
        <f t="shared" si="34"/>
        <v>43838</v>
      </c>
      <c r="P57"/>
      <c r="Q57" s="122">
        <v>29</v>
      </c>
      <c r="R57" s="122" t="str">
        <f t="shared" ca="1" si="28"/>
        <v>Holeby</v>
      </c>
      <c r="S57" s="122" t="str">
        <f t="shared" ca="1" si="29"/>
        <v>Bogense</v>
      </c>
      <c r="T57" s="134"/>
      <c r="U57" s="123" t="str">
        <f t="shared" si="44"/>
        <v>-</v>
      </c>
      <c r="V57" s="146"/>
      <c r="W57" s="147"/>
      <c r="X57" s="148"/>
      <c r="Y57" s="121" t="str">
        <f t="shared" si="30"/>
        <v>-</v>
      </c>
      <c r="Z57" s="121" t="str">
        <f t="shared" si="31"/>
        <v>-</v>
      </c>
    </row>
    <row r="58" spans="3:26" ht="18" thickBot="1" x14ac:dyDescent="0.4">
      <c r="C58" s="56" t="s">
        <v>105</v>
      </c>
      <c r="D58" s="57">
        <f t="shared" si="32"/>
        <v>0</v>
      </c>
      <c r="E58" s="56">
        <v>30</v>
      </c>
      <c r="F58" s="58">
        <f t="shared" si="25"/>
        <v>11</v>
      </c>
      <c r="G58" s="58">
        <f t="shared" si="33"/>
        <v>10</v>
      </c>
      <c r="H58" s="59" t="str">
        <f t="shared" si="26"/>
        <v>T_09</v>
      </c>
      <c r="I58" s="59" t="str">
        <f t="shared" si="27"/>
        <v>T_10</v>
      </c>
      <c r="J58" s="59">
        <f t="shared" si="39"/>
        <v>6</v>
      </c>
      <c r="K58" s="60">
        <f t="shared" si="34"/>
        <v>43838</v>
      </c>
      <c r="P58"/>
      <c r="Q58" s="124">
        <v>30</v>
      </c>
      <c r="R58" s="124" t="str">
        <f t="shared" ca="1" si="28"/>
        <v>Indre By</v>
      </c>
      <c r="S58" s="124" t="str">
        <f t="shared" ca="1" si="29"/>
        <v>Jullerup</v>
      </c>
      <c r="T58" s="135"/>
      <c r="U58" s="125" t="str">
        <f t="shared" si="44"/>
        <v>-</v>
      </c>
      <c r="V58" s="149"/>
      <c r="W58" s="150"/>
      <c r="X58" s="151"/>
      <c r="Y58" s="126" t="str">
        <f t="shared" si="30"/>
        <v>-</v>
      </c>
      <c r="Z58" s="126" t="str">
        <f t="shared" si="31"/>
        <v>-</v>
      </c>
    </row>
    <row r="59" spans="3:26" ht="17.399999999999999" x14ac:dyDescent="0.35">
      <c r="C59" s="56" t="s">
        <v>106</v>
      </c>
      <c r="D59" s="57">
        <f t="shared" si="32"/>
        <v>0</v>
      </c>
      <c r="E59" s="56">
        <v>31</v>
      </c>
      <c r="F59" s="58">
        <f t="shared" si="25"/>
        <v>5</v>
      </c>
      <c r="G59" s="58">
        <f t="shared" si="33"/>
        <v>2</v>
      </c>
      <c r="H59" s="59" t="str">
        <f t="shared" si="26"/>
        <v>T_01</v>
      </c>
      <c r="I59" s="59" t="str">
        <f t="shared" si="27"/>
        <v>T_04</v>
      </c>
      <c r="J59" s="59">
        <f t="shared" ref="J59" si="45">J54+1</f>
        <v>7</v>
      </c>
      <c r="K59" s="60">
        <f t="shared" si="34"/>
        <v>43839</v>
      </c>
      <c r="P59"/>
      <c r="Q59" s="122">
        <v>31</v>
      </c>
      <c r="R59" s="122" t="str">
        <f t="shared" ca="1" si="28"/>
        <v>Assens</v>
      </c>
      <c r="S59" s="122" t="str">
        <f t="shared" ca="1" si="29"/>
        <v>Dragør</v>
      </c>
      <c r="T59" s="134"/>
      <c r="U59" s="123" t="str">
        <f t="shared" si="44"/>
        <v>-</v>
      </c>
      <c r="V59" s="146"/>
      <c r="W59" s="147"/>
      <c r="X59" s="148"/>
      <c r="Y59" s="121" t="str">
        <f t="shared" si="30"/>
        <v>-</v>
      </c>
      <c r="Z59" s="121" t="str">
        <f t="shared" si="31"/>
        <v>-</v>
      </c>
    </row>
    <row r="60" spans="3:26" ht="17.399999999999999" x14ac:dyDescent="0.35">
      <c r="C60" s="56" t="s">
        <v>107</v>
      </c>
      <c r="D60" s="57">
        <f t="shared" si="32"/>
        <v>0</v>
      </c>
      <c r="E60" s="56">
        <v>32</v>
      </c>
      <c r="F60" s="58">
        <f t="shared" si="25"/>
        <v>4</v>
      </c>
      <c r="G60" s="58">
        <f t="shared" si="33"/>
        <v>6</v>
      </c>
      <c r="H60" s="59" t="str">
        <f t="shared" si="26"/>
        <v>T_05</v>
      </c>
      <c r="I60" s="59" t="str">
        <f t="shared" si="27"/>
        <v>T_03</v>
      </c>
      <c r="J60" s="59">
        <f t="shared" ref="J60" si="46">J59</f>
        <v>7</v>
      </c>
      <c r="K60" s="60">
        <f t="shared" si="34"/>
        <v>43839</v>
      </c>
      <c r="P60"/>
      <c r="Q60" s="122">
        <v>32</v>
      </c>
      <c r="R60" s="122" t="str">
        <f t="shared" ca="1" si="28"/>
        <v>Ejby</v>
      </c>
      <c r="S60" s="122" t="str">
        <f t="shared" ca="1" si="29"/>
        <v>Christiansfelt</v>
      </c>
      <c r="T60" s="134"/>
      <c r="U60" s="123" t="str">
        <f t="shared" si="44"/>
        <v>-</v>
      </c>
      <c r="V60" s="146"/>
      <c r="W60" s="147"/>
      <c r="X60" s="148"/>
      <c r="Y60" s="121" t="str">
        <f t="shared" si="30"/>
        <v>-</v>
      </c>
      <c r="Z60" s="121" t="str">
        <f t="shared" si="31"/>
        <v>-</v>
      </c>
    </row>
    <row r="61" spans="3:26" ht="17.399999999999999" x14ac:dyDescent="0.35">
      <c r="C61" s="56" t="s">
        <v>108</v>
      </c>
      <c r="D61" s="57">
        <f t="shared" si="32"/>
        <v>0</v>
      </c>
      <c r="E61" s="56">
        <v>33</v>
      </c>
      <c r="F61" s="58">
        <f t="shared" si="25"/>
        <v>3</v>
      </c>
      <c r="G61" s="58">
        <f t="shared" si="33"/>
        <v>7</v>
      </c>
      <c r="H61" s="59" t="str">
        <f t="shared" ref="H61:H92" si="47">INDEX(HxA,G61,1)</f>
        <v>T_06</v>
      </c>
      <c r="I61" s="59" t="str">
        <f t="shared" ref="I61:I92" si="48">INDEX(HxA,1,F61)</f>
        <v>T_02</v>
      </c>
      <c r="J61" s="59">
        <f t="shared" si="39"/>
        <v>7</v>
      </c>
      <c r="K61" s="60">
        <f t="shared" si="34"/>
        <v>43839</v>
      </c>
      <c r="P61"/>
      <c r="Q61" s="122">
        <v>33</v>
      </c>
      <c r="R61" s="122" t="str">
        <f t="shared" ref="R61:R92" ca="1" si="49">INDIRECT(H61)</f>
        <v>Fjerritslev</v>
      </c>
      <c r="S61" s="122" t="str">
        <f t="shared" ref="S61:S92" ca="1" si="50">INDIRECT(I61)</f>
        <v>Bogense</v>
      </c>
      <c r="T61" s="134"/>
      <c r="U61" s="123" t="str">
        <f t="shared" si="44"/>
        <v>-</v>
      </c>
      <c r="V61" s="146"/>
      <c r="W61" s="147"/>
      <c r="X61" s="148"/>
      <c r="Y61" s="121" t="str">
        <f t="shared" si="30"/>
        <v>-</v>
      </c>
      <c r="Z61" s="121" t="str">
        <f t="shared" si="31"/>
        <v>-</v>
      </c>
    </row>
    <row r="62" spans="3:26" ht="17.399999999999999" x14ac:dyDescent="0.35">
      <c r="C62" s="56" t="s">
        <v>109</v>
      </c>
      <c r="D62" s="57">
        <f t="shared" ref="D62:D93" si="51">OR(H62=H61,H62=I61,I62=H61,I62=I61)*1</f>
        <v>0</v>
      </c>
      <c r="E62" s="56">
        <v>34</v>
      </c>
      <c r="F62" s="58">
        <f t="shared" si="25"/>
        <v>11</v>
      </c>
      <c r="G62" s="58">
        <f t="shared" si="33"/>
        <v>8</v>
      </c>
      <c r="H62" s="59" t="str">
        <f t="shared" si="47"/>
        <v>T_07</v>
      </c>
      <c r="I62" s="59" t="str">
        <f t="shared" si="48"/>
        <v>T_10</v>
      </c>
      <c r="J62" s="59">
        <f t="shared" si="39"/>
        <v>7</v>
      </c>
      <c r="K62" s="60">
        <f t="shared" ref="K62:K93" si="52">$K$29+J62</f>
        <v>43839</v>
      </c>
      <c r="P62"/>
      <c r="Q62" s="122">
        <v>34</v>
      </c>
      <c r="R62" s="122" t="str">
        <f t="shared" ca="1" si="49"/>
        <v>Glamsbjerg</v>
      </c>
      <c r="S62" s="122" t="str">
        <f t="shared" ca="1" si="50"/>
        <v>Jullerup</v>
      </c>
      <c r="T62" s="134"/>
      <c r="U62" s="123" t="str">
        <f t="shared" si="44"/>
        <v>-</v>
      </c>
      <c r="V62" s="146"/>
      <c r="W62" s="147"/>
      <c r="X62" s="148"/>
      <c r="Y62" s="121" t="str">
        <f t="shared" si="30"/>
        <v>-</v>
      </c>
      <c r="Z62" s="121" t="str">
        <f t="shared" si="31"/>
        <v>-</v>
      </c>
    </row>
    <row r="63" spans="3:26" ht="18" thickBot="1" x14ac:dyDescent="0.4">
      <c r="C63" s="56" t="s">
        <v>110</v>
      </c>
      <c r="D63" s="57">
        <f t="shared" si="51"/>
        <v>0</v>
      </c>
      <c r="E63" s="56">
        <v>35</v>
      </c>
      <c r="F63" s="58">
        <f t="shared" si="25"/>
        <v>10</v>
      </c>
      <c r="G63" s="58">
        <f t="shared" si="33"/>
        <v>9</v>
      </c>
      <c r="H63" s="59" t="str">
        <f t="shared" si="47"/>
        <v>T_08</v>
      </c>
      <c r="I63" s="59" t="str">
        <f t="shared" si="48"/>
        <v>T_09</v>
      </c>
      <c r="J63" s="59">
        <f t="shared" si="39"/>
        <v>7</v>
      </c>
      <c r="K63" s="60">
        <f t="shared" si="52"/>
        <v>43839</v>
      </c>
      <c r="P63"/>
      <c r="Q63" s="124">
        <v>35</v>
      </c>
      <c r="R63" s="124" t="str">
        <f t="shared" ca="1" si="49"/>
        <v>Holeby</v>
      </c>
      <c r="S63" s="124" t="str">
        <f t="shared" ca="1" si="50"/>
        <v>Indre By</v>
      </c>
      <c r="T63" s="135"/>
      <c r="U63" s="125" t="str">
        <f t="shared" si="44"/>
        <v>-</v>
      </c>
      <c r="V63" s="149"/>
      <c r="W63" s="150"/>
      <c r="X63" s="151"/>
      <c r="Y63" s="126" t="str">
        <f t="shared" si="30"/>
        <v>-</v>
      </c>
      <c r="Z63" s="126" t="str">
        <f t="shared" si="31"/>
        <v>-</v>
      </c>
    </row>
    <row r="64" spans="3:26" ht="17.399999999999999" x14ac:dyDescent="0.35">
      <c r="C64" s="56" t="s">
        <v>111</v>
      </c>
      <c r="D64" s="57">
        <f t="shared" si="51"/>
        <v>0</v>
      </c>
      <c r="E64" s="56">
        <v>36</v>
      </c>
      <c r="F64" s="58">
        <f t="shared" si="25"/>
        <v>2</v>
      </c>
      <c r="G64" s="58">
        <f t="shared" si="33"/>
        <v>4</v>
      </c>
      <c r="H64" s="59" t="str">
        <f t="shared" si="47"/>
        <v>T_03</v>
      </c>
      <c r="I64" s="59" t="str">
        <f t="shared" si="48"/>
        <v>T_01</v>
      </c>
      <c r="J64" s="59">
        <f t="shared" ref="J64" si="53">J59+1</f>
        <v>8</v>
      </c>
      <c r="K64" s="60">
        <f t="shared" si="52"/>
        <v>43840</v>
      </c>
      <c r="P64"/>
      <c r="Q64" s="122">
        <v>36</v>
      </c>
      <c r="R64" s="122" t="str">
        <f t="shared" ca="1" si="49"/>
        <v>Christiansfelt</v>
      </c>
      <c r="S64" s="122" t="str">
        <f t="shared" ca="1" si="50"/>
        <v>Assens</v>
      </c>
      <c r="T64" s="134"/>
      <c r="U64" s="123" t="str">
        <f t="shared" si="44"/>
        <v>-</v>
      </c>
      <c r="V64" s="146"/>
      <c r="W64" s="147"/>
      <c r="X64" s="148"/>
      <c r="Y64" s="121" t="str">
        <f t="shared" si="30"/>
        <v>-</v>
      </c>
      <c r="Z64" s="121" t="str">
        <f t="shared" si="31"/>
        <v>-</v>
      </c>
    </row>
    <row r="65" spans="3:26" ht="17.399999999999999" x14ac:dyDescent="0.35">
      <c r="C65" s="56" t="s">
        <v>112</v>
      </c>
      <c r="D65" s="57">
        <f t="shared" si="51"/>
        <v>0</v>
      </c>
      <c r="E65" s="56">
        <v>37</v>
      </c>
      <c r="F65" s="58">
        <f t="shared" si="25"/>
        <v>3</v>
      </c>
      <c r="G65" s="58">
        <f t="shared" si="33"/>
        <v>5</v>
      </c>
      <c r="H65" s="59" t="str">
        <f t="shared" si="47"/>
        <v>T_04</v>
      </c>
      <c r="I65" s="59" t="str">
        <f t="shared" si="48"/>
        <v>T_02</v>
      </c>
      <c r="J65" s="59">
        <f t="shared" ref="J65" si="54">J64</f>
        <v>8</v>
      </c>
      <c r="K65" s="60">
        <f t="shared" si="52"/>
        <v>43840</v>
      </c>
      <c r="P65"/>
      <c r="Q65" s="122">
        <v>37</v>
      </c>
      <c r="R65" s="122" t="str">
        <f t="shared" ca="1" si="49"/>
        <v>Dragør</v>
      </c>
      <c r="S65" s="122" t="str">
        <f t="shared" ca="1" si="50"/>
        <v>Bogense</v>
      </c>
      <c r="T65" s="134"/>
      <c r="U65" s="123" t="str">
        <f t="shared" si="44"/>
        <v>-</v>
      </c>
      <c r="V65" s="146"/>
      <c r="W65" s="147"/>
      <c r="X65" s="148"/>
      <c r="Y65" s="121" t="str">
        <f t="shared" si="30"/>
        <v>-</v>
      </c>
      <c r="Z65" s="121" t="str">
        <f t="shared" si="31"/>
        <v>-</v>
      </c>
    </row>
    <row r="66" spans="3:26" ht="17.399999999999999" x14ac:dyDescent="0.35">
      <c r="C66" s="56" t="s">
        <v>113</v>
      </c>
      <c r="D66" s="57">
        <f t="shared" si="51"/>
        <v>0</v>
      </c>
      <c r="E66" s="56">
        <v>38</v>
      </c>
      <c r="F66" s="58">
        <f t="shared" si="25"/>
        <v>11</v>
      </c>
      <c r="G66" s="58">
        <f t="shared" si="33"/>
        <v>6</v>
      </c>
      <c r="H66" s="59" t="str">
        <f t="shared" si="47"/>
        <v>T_05</v>
      </c>
      <c r="I66" s="59" t="str">
        <f t="shared" si="48"/>
        <v>T_10</v>
      </c>
      <c r="J66" s="59">
        <f t="shared" si="39"/>
        <v>8</v>
      </c>
      <c r="K66" s="60">
        <f t="shared" si="52"/>
        <v>43840</v>
      </c>
      <c r="P66"/>
      <c r="Q66" s="122">
        <v>38</v>
      </c>
      <c r="R66" s="122" t="str">
        <f t="shared" ca="1" si="49"/>
        <v>Ejby</v>
      </c>
      <c r="S66" s="122" t="str">
        <f t="shared" ca="1" si="50"/>
        <v>Jullerup</v>
      </c>
      <c r="T66" s="134"/>
      <c r="U66" s="123" t="str">
        <f t="shared" si="44"/>
        <v>-</v>
      </c>
      <c r="V66" s="146"/>
      <c r="W66" s="147"/>
      <c r="X66" s="148"/>
      <c r="Y66" s="121" t="str">
        <f t="shared" si="30"/>
        <v>-</v>
      </c>
      <c r="Z66" s="121" t="str">
        <f t="shared" si="31"/>
        <v>-</v>
      </c>
    </row>
    <row r="67" spans="3:26" ht="17.399999999999999" x14ac:dyDescent="0.35">
      <c r="C67" s="56" t="s">
        <v>114</v>
      </c>
      <c r="D67" s="57">
        <f t="shared" si="51"/>
        <v>0</v>
      </c>
      <c r="E67" s="56">
        <v>39</v>
      </c>
      <c r="F67" s="58">
        <f t="shared" si="25"/>
        <v>10</v>
      </c>
      <c r="G67" s="58">
        <f t="shared" si="33"/>
        <v>7</v>
      </c>
      <c r="H67" s="59" t="str">
        <f t="shared" si="47"/>
        <v>T_06</v>
      </c>
      <c r="I67" s="59" t="str">
        <f t="shared" si="48"/>
        <v>T_09</v>
      </c>
      <c r="J67" s="59">
        <f t="shared" si="39"/>
        <v>8</v>
      </c>
      <c r="K67" s="60">
        <f t="shared" si="52"/>
        <v>43840</v>
      </c>
      <c r="P67"/>
      <c r="Q67" s="122">
        <v>39</v>
      </c>
      <c r="R67" s="122" t="str">
        <f t="shared" ca="1" si="49"/>
        <v>Fjerritslev</v>
      </c>
      <c r="S67" s="122" t="str">
        <f t="shared" ca="1" si="50"/>
        <v>Indre By</v>
      </c>
      <c r="T67" s="134"/>
      <c r="U67" s="123" t="str">
        <f t="shared" si="44"/>
        <v>-</v>
      </c>
      <c r="V67" s="146"/>
      <c r="W67" s="147"/>
      <c r="X67" s="148"/>
      <c r="Y67" s="121" t="str">
        <f t="shared" si="30"/>
        <v>-</v>
      </c>
      <c r="Z67" s="121" t="str">
        <f t="shared" si="31"/>
        <v>-</v>
      </c>
    </row>
    <row r="68" spans="3:26" ht="18" thickBot="1" x14ac:dyDescent="0.4">
      <c r="C68" s="56" t="s">
        <v>115</v>
      </c>
      <c r="D68" s="57">
        <f t="shared" si="51"/>
        <v>0</v>
      </c>
      <c r="E68" s="56">
        <v>40</v>
      </c>
      <c r="F68" s="58">
        <f t="shared" si="25"/>
        <v>9</v>
      </c>
      <c r="G68" s="58">
        <f t="shared" si="33"/>
        <v>8</v>
      </c>
      <c r="H68" s="59" t="str">
        <f t="shared" si="47"/>
        <v>T_07</v>
      </c>
      <c r="I68" s="59" t="str">
        <f t="shared" si="48"/>
        <v>T_08</v>
      </c>
      <c r="J68" s="59">
        <f t="shared" si="39"/>
        <v>8</v>
      </c>
      <c r="K68" s="60">
        <f t="shared" si="52"/>
        <v>43840</v>
      </c>
      <c r="P68"/>
      <c r="Q68" s="124">
        <v>40</v>
      </c>
      <c r="R68" s="124" t="str">
        <f t="shared" ca="1" si="49"/>
        <v>Glamsbjerg</v>
      </c>
      <c r="S68" s="124" t="str">
        <f t="shared" ca="1" si="50"/>
        <v>Holeby</v>
      </c>
      <c r="T68" s="135"/>
      <c r="U68" s="125" t="str">
        <f t="shared" si="44"/>
        <v>-</v>
      </c>
      <c r="V68" s="149"/>
      <c r="W68" s="150"/>
      <c r="X68" s="151"/>
      <c r="Y68" s="126" t="str">
        <f t="shared" si="30"/>
        <v>-</v>
      </c>
      <c r="Z68" s="126" t="str">
        <f t="shared" si="31"/>
        <v>-</v>
      </c>
    </row>
    <row r="69" spans="3:26" ht="17.399999999999999" x14ac:dyDescent="0.35">
      <c r="C69" s="56" t="s">
        <v>116</v>
      </c>
      <c r="D69" s="57">
        <f t="shared" si="51"/>
        <v>0</v>
      </c>
      <c r="E69" s="56">
        <v>41</v>
      </c>
      <c r="F69" s="58">
        <f t="shared" si="25"/>
        <v>3</v>
      </c>
      <c r="G69" s="58">
        <f t="shared" si="33"/>
        <v>2</v>
      </c>
      <c r="H69" s="59" t="str">
        <f t="shared" si="47"/>
        <v>T_01</v>
      </c>
      <c r="I69" s="59" t="str">
        <f t="shared" si="48"/>
        <v>T_02</v>
      </c>
      <c r="J69" s="59">
        <f t="shared" ref="J69" si="55">J64+1</f>
        <v>9</v>
      </c>
      <c r="K69" s="60">
        <f t="shared" si="52"/>
        <v>43841</v>
      </c>
      <c r="P69"/>
      <c r="Q69" s="122">
        <v>41</v>
      </c>
      <c r="R69" s="122" t="str">
        <f t="shared" ca="1" si="49"/>
        <v>Assens</v>
      </c>
      <c r="S69" s="122" t="str">
        <f t="shared" ca="1" si="50"/>
        <v>Bogense</v>
      </c>
      <c r="T69" s="134"/>
      <c r="U69" s="123" t="str">
        <f t="shared" si="44"/>
        <v>-</v>
      </c>
      <c r="V69" s="146"/>
      <c r="W69" s="147"/>
      <c r="X69" s="148"/>
      <c r="Y69" s="121" t="str">
        <f t="shared" si="30"/>
        <v>-</v>
      </c>
      <c r="Z69" s="121" t="str">
        <f t="shared" si="31"/>
        <v>-</v>
      </c>
    </row>
    <row r="70" spans="3:26" ht="17.399999999999999" x14ac:dyDescent="0.35">
      <c r="C70" s="56" t="s">
        <v>117</v>
      </c>
      <c r="D70" s="57">
        <f t="shared" si="51"/>
        <v>0</v>
      </c>
      <c r="E70" s="56">
        <v>42</v>
      </c>
      <c r="F70" s="58">
        <f t="shared" si="25"/>
        <v>11</v>
      </c>
      <c r="G70" s="58">
        <f t="shared" si="33"/>
        <v>4</v>
      </c>
      <c r="H70" s="59" t="str">
        <f t="shared" si="47"/>
        <v>T_03</v>
      </c>
      <c r="I70" s="59" t="str">
        <f t="shared" si="48"/>
        <v>T_10</v>
      </c>
      <c r="J70" s="59">
        <f t="shared" ref="J70" si="56">J69</f>
        <v>9</v>
      </c>
      <c r="K70" s="60">
        <f t="shared" si="52"/>
        <v>43841</v>
      </c>
      <c r="P70"/>
      <c r="Q70" s="122">
        <v>42</v>
      </c>
      <c r="R70" s="122" t="str">
        <f t="shared" ca="1" si="49"/>
        <v>Christiansfelt</v>
      </c>
      <c r="S70" s="122" t="str">
        <f t="shared" ca="1" si="50"/>
        <v>Jullerup</v>
      </c>
      <c r="T70" s="134"/>
      <c r="U70" s="123" t="str">
        <f t="shared" si="44"/>
        <v>-</v>
      </c>
      <c r="V70" s="146"/>
      <c r="W70" s="147"/>
      <c r="X70" s="148"/>
      <c r="Y70" s="121" t="str">
        <f t="shared" si="30"/>
        <v>-</v>
      </c>
      <c r="Z70" s="121" t="str">
        <f t="shared" si="31"/>
        <v>-</v>
      </c>
    </row>
    <row r="71" spans="3:26" ht="17.399999999999999" x14ac:dyDescent="0.35">
      <c r="C71" s="56" t="s">
        <v>118</v>
      </c>
      <c r="D71" s="57">
        <f t="shared" si="51"/>
        <v>0</v>
      </c>
      <c r="E71" s="56">
        <v>43</v>
      </c>
      <c r="F71" s="58">
        <f t="shared" si="25"/>
        <v>10</v>
      </c>
      <c r="G71" s="58">
        <f t="shared" si="33"/>
        <v>5</v>
      </c>
      <c r="H71" s="59" t="str">
        <f t="shared" si="47"/>
        <v>T_04</v>
      </c>
      <c r="I71" s="59" t="str">
        <f t="shared" si="48"/>
        <v>T_09</v>
      </c>
      <c r="J71" s="59">
        <f t="shared" si="39"/>
        <v>9</v>
      </c>
      <c r="K71" s="60">
        <f t="shared" si="52"/>
        <v>43841</v>
      </c>
      <c r="P71"/>
      <c r="Q71" s="122">
        <v>43</v>
      </c>
      <c r="R71" s="122" t="str">
        <f t="shared" ca="1" si="49"/>
        <v>Dragør</v>
      </c>
      <c r="S71" s="122" t="str">
        <f t="shared" ca="1" si="50"/>
        <v>Indre By</v>
      </c>
      <c r="T71" s="134"/>
      <c r="U71" s="123" t="str">
        <f t="shared" si="44"/>
        <v>-</v>
      </c>
      <c r="V71" s="146"/>
      <c r="W71" s="147"/>
      <c r="X71" s="148"/>
      <c r="Y71" s="121" t="str">
        <f t="shared" si="30"/>
        <v>-</v>
      </c>
      <c r="Z71" s="121" t="str">
        <f t="shared" si="31"/>
        <v>-</v>
      </c>
    </row>
    <row r="72" spans="3:26" ht="17.399999999999999" x14ac:dyDescent="0.35">
      <c r="C72" s="56" t="s">
        <v>119</v>
      </c>
      <c r="D72" s="57">
        <f t="shared" si="51"/>
        <v>0</v>
      </c>
      <c r="E72" s="56">
        <v>44</v>
      </c>
      <c r="F72" s="58">
        <f t="shared" si="25"/>
        <v>9</v>
      </c>
      <c r="G72" s="58">
        <f t="shared" si="33"/>
        <v>6</v>
      </c>
      <c r="H72" s="59" t="str">
        <f t="shared" si="47"/>
        <v>T_05</v>
      </c>
      <c r="I72" s="59" t="str">
        <f t="shared" si="48"/>
        <v>T_08</v>
      </c>
      <c r="J72" s="59">
        <f t="shared" si="39"/>
        <v>9</v>
      </c>
      <c r="K72" s="60">
        <f t="shared" si="52"/>
        <v>43841</v>
      </c>
      <c r="P72"/>
      <c r="Q72" s="122">
        <v>44</v>
      </c>
      <c r="R72" s="122" t="str">
        <f t="shared" ca="1" si="49"/>
        <v>Ejby</v>
      </c>
      <c r="S72" s="122" t="str">
        <f t="shared" ca="1" si="50"/>
        <v>Holeby</v>
      </c>
      <c r="T72" s="134"/>
      <c r="U72" s="123" t="str">
        <f t="shared" si="44"/>
        <v>-</v>
      </c>
      <c r="V72" s="146"/>
      <c r="W72" s="147"/>
      <c r="X72" s="148"/>
      <c r="Y72" s="121" t="str">
        <f t="shared" si="30"/>
        <v>-</v>
      </c>
      <c r="Z72" s="121" t="str">
        <f t="shared" si="31"/>
        <v>-</v>
      </c>
    </row>
    <row r="73" spans="3:26" ht="18" thickBot="1" x14ac:dyDescent="0.4">
      <c r="C73" s="76" t="s">
        <v>120</v>
      </c>
      <c r="D73" s="77">
        <f t="shared" si="51"/>
        <v>0</v>
      </c>
      <c r="E73" s="76">
        <v>45</v>
      </c>
      <c r="F73" s="78">
        <f t="shared" si="25"/>
        <v>8</v>
      </c>
      <c r="G73" s="78">
        <f t="shared" si="33"/>
        <v>7</v>
      </c>
      <c r="H73" s="79" t="str">
        <f t="shared" si="47"/>
        <v>T_06</v>
      </c>
      <c r="I73" s="79" t="str">
        <f t="shared" si="48"/>
        <v>T_07</v>
      </c>
      <c r="J73" s="79">
        <f t="shared" si="39"/>
        <v>9</v>
      </c>
      <c r="K73" s="80">
        <f t="shared" si="52"/>
        <v>43841</v>
      </c>
      <c r="P73"/>
      <c r="Q73" s="167">
        <v>45</v>
      </c>
      <c r="R73" s="167" t="str">
        <f t="shared" ca="1" si="49"/>
        <v>Fjerritslev</v>
      </c>
      <c r="S73" s="167" t="str">
        <f t="shared" ca="1" si="50"/>
        <v>Glamsbjerg</v>
      </c>
      <c r="T73" s="168"/>
      <c r="U73" s="169" t="str">
        <f t="shared" si="44"/>
        <v>-</v>
      </c>
      <c r="V73" s="170"/>
      <c r="W73" s="171"/>
      <c r="X73" s="172"/>
      <c r="Y73" s="173" t="str">
        <f t="shared" si="30"/>
        <v>-</v>
      </c>
      <c r="Z73" s="173" t="str">
        <f t="shared" si="31"/>
        <v>-</v>
      </c>
    </row>
    <row r="74" spans="3:26" ht="17.399999999999999" x14ac:dyDescent="0.35">
      <c r="C74" s="63" t="s">
        <v>121</v>
      </c>
      <c r="D74" s="62">
        <f t="shared" si="51"/>
        <v>0</v>
      </c>
      <c r="E74" s="63">
        <v>46</v>
      </c>
      <c r="F74" s="51">
        <f t="shared" si="25"/>
        <v>2</v>
      </c>
      <c r="G74" s="51">
        <f t="shared" si="33"/>
        <v>11</v>
      </c>
      <c r="H74" s="64" t="str">
        <f t="shared" si="47"/>
        <v>T_10</v>
      </c>
      <c r="I74" s="64" t="str">
        <f t="shared" si="48"/>
        <v>T_01</v>
      </c>
      <c r="J74" s="64">
        <f t="shared" ref="J74" si="57">J69+1</f>
        <v>10</v>
      </c>
      <c r="K74" s="65">
        <f t="shared" si="52"/>
        <v>43842</v>
      </c>
      <c r="P74"/>
      <c r="Q74" s="160">
        <v>46</v>
      </c>
      <c r="R74" s="160" t="str">
        <f t="shared" ca="1" si="49"/>
        <v>Jullerup</v>
      </c>
      <c r="S74" s="160" t="str">
        <f t="shared" ca="1" si="50"/>
        <v>Assens</v>
      </c>
      <c r="T74" s="161"/>
      <c r="U74" s="162" t="str">
        <f t="shared" si="44"/>
        <v>-</v>
      </c>
      <c r="V74" s="163"/>
      <c r="W74" s="164"/>
      <c r="X74" s="165"/>
      <c r="Y74" s="166" t="str">
        <f t="shared" si="30"/>
        <v>-</v>
      </c>
      <c r="Z74" s="166" t="str">
        <f t="shared" si="31"/>
        <v>-</v>
      </c>
    </row>
    <row r="75" spans="3:26" ht="17.399999999999999" x14ac:dyDescent="0.35">
      <c r="C75" s="56" t="s">
        <v>122</v>
      </c>
      <c r="D75" s="57">
        <f t="shared" si="51"/>
        <v>0</v>
      </c>
      <c r="E75" s="56">
        <v>47</v>
      </c>
      <c r="F75" s="58">
        <f t="shared" si="25"/>
        <v>3</v>
      </c>
      <c r="G75" s="58">
        <f t="shared" si="33"/>
        <v>10</v>
      </c>
      <c r="H75" s="59" t="str">
        <f t="shared" si="47"/>
        <v>T_09</v>
      </c>
      <c r="I75" s="59" t="str">
        <f t="shared" si="48"/>
        <v>T_02</v>
      </c>
      <c r="J75" s="59">
        <f t="shared" ref="J75" si="58">J74</f>
        <v>10</v>
      </c>
      <c r="K75" s="60">
        <f t="shared" si="52"/>
        <v>43842</v>
      </c>
      <c r="P75"/>
      <c r="Q75" s="122">
        <v>47</v>
      </c>
      <c r="R75" s="122" t="str">
        <f t="shared" ca="1" si="49"/>
        <v>Indre By</v>
      </c>
      <c r="S75" s="122" t="str">
        <f t="shared" ca="1" si="50"/>
        <v>Bogense</v>
      </c>
      <c r="T75" s="134"/>
      <c r="U75" s="123" t="str">
        <f t="shared" si="44"/>
        <v>-</v>
      </c>
      <c r="V75" s="146"/>
      <c r="W75" s="147"/>
      <c r="X75" s="148"/>
      <c r="Y75" s="121" t="str">
        <f t="shared" si="30"/>
        <v>-</v>
      </c>
      <c r="Z75" s="121" t="str">
        <f t="shared" si="31"/>
        <v>-</v>
      </c>
    </row>
    <row r="76" spans="3:26" ht="17.399999999999999" x14ac:dyDescent="0.35">
      <c r="C76" s="56" t="s">
        <v>123</v>
      </c>
      <c r="D76" s="57">
        <f t="shared" si="51"/>
        <v>0</v>
      </c>
      <c r="E76" s="56">
        <v>48</v>
      </c>
      <c r="F76" s="58">
        <f t="shared" si="25"/>
        <v>4</v>
      </c>
      <c r="G76" s="58">
        <f t="shared" si="33"/>
        <v>9</v>
      </c>
      <c r="H76" s="59" t="str">
        <f t="shared" si="47"/>
        <v>T_08</v>
      </c>
      <c r="I76" s="59" t="str">
        <f t="shared" si="48"/>
        <v>T_03</v>
      </c>
      <c r="J76" s="59">
        <f t="shared" si="39"/>
        <v>10</v>
      </c>
      <c r="K76" s="60">
        <f t="shared" si="52"/>
        <v>43842</v>
      </c>
      <c r="P76"/>
      <c r="Q76" s="122">
        <v>48</v>
      </c>
      <c r="R76" s="122" t="str">
        <f t="shared" ca="1" si="49"/>
        <v>Holeby</v>
      </c>
      <c r="S76" s="122" t="str">
        <f t="shared" ca="1" si="50"/>
        <v>Christiansfelt</v>
      </c>
      <c r="T76" s="134"/>
      <c r="U76" s="123" t="str">
        <f t="shared" si="44"/>
        <v>-</v>
      </c>
      <c r="V76" s="146"/>
      <c r="W76" s="147"/>
      <c r="X76" s="148"/>
      <c r="Y76" s="121" t="str">
        <f t="shared" si="30"/>
        <v>-</v>
      </c>
      <c r="Z76" s="121" t="str">
        <f t="shared" si="31"/>
        <v>-</v>
      </c>
    </row>
    <row r="77" spans="3:26" ht="17.399999999999999" x14ac:dyDescent="0.35">
      <c r="C77" s="56" t="s">
        <v>124</v>
      </c>
      <c r="D77" s="57">
        <f t="shared" si="51"/>
        <v>0</v>
      </c>
      <c r="E77" s="56">
        <v>49</v>
      </c>
      <c r="F77" s="58">
        <f t="shared" si="25"/>
        <v>5</v>
      </c>
      <c r="G77" s="58">
        <f t="shared" si="33"/>
        <v>8</v>
      </c>
      <c r="H77" s="59" t="str">
        <f t="shared" si="47"/>
        <v>T_07</v>
      </c>
      <c r="I77" s="59" t="str">
        <f t="shared" si="48"/>
        <v>T_04</v>
      </c>
      <c r="J77" s="59">
        <f t="shared" si="39"/>
        <v>10</v>
      </c>
      <c r="K77" s="60">
        <f t="shared" si="52"/>
        <v>43842</v>
      </c>
      <c r="P77"/>
      <c r="Q77" s="122">
        <v>49</v>
      </c>
      <c r="R77" s="122" t="str">
        <f t="shared" ca="1" si="49"/>
        <v>Glamsbjerg</v>
      </c>
      <c r="S77" s="122" t="str">
        <f t="shared" ca="1" si="50"/>
        <v>Dragør</v>
      </c>
      <c r="T77" s="134"/>
      <c r="U77" s="123" t="str">
        <f t="shared" si="44"/>
        <v>-</v>
      </c>
      <c r="V77" s="146"/>
      <c r="W77" s="147"/>
      <c r="X77" s="148"/>
      <c r="Y77" s="121" t="str">
        <f t="shared" si="30"/>
        <v>-</v>
      </c>
      <c r="Z77" s="121" t="str">
        <f t="shared" si="31"/>
        <v>-</v>
      </c>
    </row>
    <row r="78" spans="3:26" ht="18" thickBot="1" x14ac:dyDescent="0.4">
      <c r="C78" s="56" t="s">
        <v>125</v>
      </c>
      <c r="D78" s="57">
        <f t="shared" si="51"/>
        <v>0</v>
      </c>
      <c r="E78" s="56">
        <v>50</v>
      </c>
      <c r="F78" s="58">
        <f t="shared" si="25"/>
        <v>6</v>
      </c>
      <c r="G78" s="58">
        <f t="shared" si="33"/>
        <v>7</v>
      </c>
      <c r="H78" s="59" t="str">
        <f t="shared" si="47"/>
        <v>T_06</v>
      </c>
      <c r="I78" s="59" t="str">
        <f t="shared" si="48"/>
        <v>T_05</v>
      </c>
      <c r="J78" s="59">
        <f t="shared" si="39"/>
        <v>10</v>
      </c>
      <c r="K78" s="60">
        <f t="shared" si="52"/>
        <v>43842</v>
      </c>
      <c r="P78"/>
      <c r="Q78" s="124">
        <v>50</v>
      </c>
      <c r="R78" s="124" t="str">
        <f t="shared" ca="1" si="49"/>
        <v>Fjerritslev</v>
      </c>
      <c r="S78" s="124" t="str">
        <f t="shared" ca="1" si="50"/>
        <v>Ejby</v>
      </c>
      <c r="T78" s="135"/>
      <c r="U78" s="125" t="str">
        <f t="shared" si="44"/>
        <v>-</v>
      </c>
      <c r="V78" s="149"/>
      <c r="W78" s="150"/>
      <c r="X78" s="151"/>
      <c r="Y78" s="126" t="str">
        <f t="shared" si="30"/>
        <v>-</v>
      </c>
      <c r="Z78" s="126" t="str">
        <f t="shared" si="31"/>
        <v>-</v>
      </c>
    </row>
    <row r="79" spans="3:26" ht="17.399999999999999" x14ac:dyDescent="0.35">
      <c r="C79" s="56" t="s">
        <v>126</v>
      </c>
      <c r="D79" s="57">
        <f t="shared" si="51"/>
        <v>0</v>
      </c>
      <c r="E79" s="56">
        <v>51</v>
      </c>
      <c r="F79" s="58">
        <f t="shared" si="25"/>
        <v>10</v>
      </c>
      <c r="G79" s="58">
        <f t="shared" si="33"/>
        <v>2</v>
      </c>
      <c r="H79" s="59" t="str">
        <f t="shared" si="47"/>
        <v>T_01</v>
      </c>
      <c r="I79" s="59" t="str">
        <f t="shared" si="48"/>
        <v>T_09</v>
      </c>
      <c r="J79" s="59">
        <f t="shared" ref="J79" si="59">J74+1</f>
        <v>11</v>
      </c>
      <c r="K79" s="60">
        <f t="shared" si="52"/>
        <v>43843</v>
      </c>
      <c r="P79"/>
      <c r="Q79" s="122">
        <v>51</v>
      </c>
      <c r="R79" s="122" t="str">
        <f t="shared" ca="1" si="49"/>
        <v>Assens</v>
      </c>
      <c r="S79" s="122" t="str">
        <f t="shared" ca="1" si="50"/>
        <v>Indre By</v>
      </c>
      <c r="T79" s="134"/>
      <c r="U79" s="123" t="str">
        <f t="shared" si="44"/>
        <v>-</v>
      </c>
      <c r="V79" s="146"/>
      <c r="W79" s="147"/>
      <c r="X79" s="148"/>
      <c r="Y79" s="121" t="str">
        <f t="shared" si="30"/>
        <v>-</v>
      </c>
      <c r="Z79" s="121" t="str">
        <f t="shared" si="31"/>
        <v>-</v>
      </c>
    </row>
    <row r="80" spans="3:26" ht="17.399999999999999" x14ac:dyDescent="0.35">
      <c r="C80" s="56" t="s">
        <v>127</v>
      </c>
      <c r="D80" s="57">
        <f t="shared" si="51"/>
        <v>0</v>
      </c>
      <c r="E80" s="56">
        <v>52</v>
      </c>
      <c r="F80" s="58">
        <f t="shared" si="25"/>
        <v>11</v>
      </c>
      <c r="G80" s="58">
        <f t="shared" si="33"/>
        <v>9</v>
      </c>
      <c r="H80" s="59" t="str">
        <f t="shared" si="47"/>
        <v>T_08</v>
      </c>
      <c r="I80" s="59" t="str">
        <f t="shared" si="48"/>
        <v>T_10</v>
      </c>
      <c r="J80" s="59">
        <f t="shared" ref="J80" si="60">J79</f>
        <v>11</v>
      </c>
      <c r="K80" s="60">
        <f t="shared" si="52"/>
        <v>43843</v>
      </c>
      <c r="P80"/>
      <c r="Q80" s="122">
        <v>52</v>
      </c>
      <c r="R80" s="122" t="str">
        <f t="shared" ca="1" si="49"/>
        <v>Holeby</v>
      </c>
      <c r="S80" s="122" t="str">
        <f t="shared" ca="1" si="50"/>
        <v>Jullerup</v>
      </c>
      <c r="T80" s="134"/>
      <c r="U80" s="123" t="str">
        <f t="shared" si="44"/>
        <v>-</v>
      </c>
      <c r="V80" s="146"/>
      <c r="W80" s="147"/>
      <c r="X80" s="148"/>
      <c r="Y80" s="121" t="str">
        <f t="shared" si="30"/>
        <v>-</v>
      </c>
      <c r="Z80" s="121" t="str">
        <f t="shared" si="31"/>
        <v>-</v>
      </c>
    </row>
    <row r="81" spans="3:26" ht="17.399999999999999" x14ac:dyDescent="0.35">
      <c r="C81" s="56" t="s">
        <v>128</v>
      </c>
      <c r="D81" s="57">
        <f t="shared" si="51"/>
        <v>0</v>
      </c>
      <c r="E81" s="56">
        <v>53</v>
      </c>
      <c r="F81" s="58">
        <f t="shared" si="25"/>
        <v>3</v>
      </c>
      <c r="G81" s="58">
        <f t="shared" si="33"/>
        <v>8</v>
      </c>
      <c r="H81" s="59" t="str">
        <f t="shared" si="47"/>
        <v>T_07</v>
      </c>
      <c r="I81" s="59" t="str">
        <f t="shared" si="48"/>
        <v>T_02</v>
      </c>
      <c r="J81" s="59">
        <f t="shared" si="39"/>
        <v>11</v>
      </c>
      <c r="K81" s="60">
        <f t="shared" si="52"/>
        <v>43843</v>
      </c>
      <c r="P81"/>
      <c r="Q81" s="122">
        <v>53</v>
      </c>
      <c r="R81" s="122" t="str">
        <f t="shared" ca="1" si="49"/>
        <v>Glamsbjerg</v>
      </c>
      <c r="S81" s="122" t="str">
        <f t="shared" ca="1" si="50"/>
        <v>Bogense</v>
      </c>
      <c r="T81" s="134"/>
      <c r="U81" s="123" t="str">
        <f t="shared" si="44"/>
        <v>-</v>
      </c>
      <c r="V81" s="146"/>
      <c r="W81" s="147"/>
      <c r="X81" s="148"/>
      <c r="Y81" s="121" t="str">
        <f t="shared" ref="Y81:Y84" si="61">IF(ISNUMBER(W81)*ISNUMBER(X81),IF(W81&gt;X81,ptv, IF(W81=X81,ptu,ptt)),"-")</f>
        <v>-</v>
      </c>
      <c r="Z81" s="121" t="str">
        <f t="shared" ref="Z81:Z84" si="62">IF(ISNUMBER(W81)*ISNUMBER(X81),IF(Y81=ptv,ptt,IF(Y81=ptu,ptu,ptv)),"-")</f>
        <v>-</v>
      </c>
    </row>
    <row r="82" spans="3:26" ht="17.399999999999999" x14ac:dyDescent="0.35">
      <c r="C82" s="56" t="s">
        <v>129</v>
      </c>
      <c r="D82" s="57">
        <f t="shared" si="51"/>
        <v>0</v>
      </c>
      <c r="E82" s="56">
        <v>54</v>
      </c>
      <c r="F82" s="58">
        <f t="shared" si="25"/>
        <v>4</v>
      </c>
      <c r="G82" s="58">
        <f t="shared" si="33"/>
        <v>7</v>
      </c>
      <c r="H82" s="59" t="str">
        <f t="shared" si="47"/>
        <v>T_06</v>
      </c>
      <c r="I82" s="59" t="str">
        <f t="shared" si="48"/>
        <v>T_03</v>
      </c>
      <c r="J82" s="59">
        <f t="shared" si="39"/>
        <v>11</v>
      </c>
      <c r="K82" s="60">
        <f t="shared" si="52"/>
        <v>43843</v>
      </c>
      <c r="P82"/>
      <c r="Q82" s="122">
        <v>54</v>
      </c>
      <c r="R82" s="122" t="str">
        <f t="shared" ca="1" si="49"/>
        <v>Fjerritslev</v>
      </c>
      <c r="S82" s="122" t="str">
        <f t="shared" ca="1" si="50"/>
        <v>Christiansfelt</v>
      </c>
      <c r="T82" s="134"/>
      <c r="U82" s="123" t="str">
        <f t="shared" si="44"/>
        <v>-</v>
      </c>
      <c r="V82" s="146"/>
      <c r="W82" s="147"/>
      <c r="X82" s="148"/>
      <c r="Y82" s="121" t="str">
        <f t="shared" si="61"/>
        <v>-</v>
      </c>
      <c r="Z82" s="121" t="str">
        <f t="shared" si="62"/>
        <v>-</v>
      </c>
    </row>
    <row r="83" spans="3:26" ht="18" thickBot="1" x14ac:dyDescent="0.4">
      <c r="C83" s="56" t="s">
        <v>130</v>
      </c>
      <c r="D83" s="57">
        <f t="shared" si="51"/>
        <v>0</v>
      </c>
      <c r="E83" s="56">
        <v>55</v>
      </c>
      <c r="F83" s="58">
        <f t="shared" si="25"/>
        <v>5</v>
      </c>
      <c r="G83" s="58">
        <f t="shared" si="33"/>
        <v>6</v>
      </c>
      <c r="H83" s="59" t="str">
        <f t="shared" si="47"/>
        <v>T_05</v>
      </c>
      <c r="I83" s="59" t="str">
        <f t="shared" si="48"/>
        <v>T_04</v>
      </c>
      <c r="J83" s="59">
        <f t="shared" si="39"/>
        <v>11</v>
      </c>
      <c r="K83" s="60">
        <f t="shared" si="52"/>
        <v>43843</v>
      </c>
      <c r="P83"/>
      <c r="Q83" s="124">
        <v>55</v>
      </c>
      <c r="R83" s="124" t="str">
        <f t="shared" ca="1" si="49"/>
        <v>Ejby</v>
      </c>
      <c r="S83" s="124" t="str">
        <f t="shared" ca="1" si="50"/>
        <v>Dragør</v>
      </c>
      <c r="T83" s="135"/>
      <c r="U83" s="125" t="str">
        <f t="shared" si="44"/>
        <v>-</v>
      </c>
      <c r="V83" s="149"/>
      <c r="W83" s="150"/>
      <c r="X83" s="151"/>
      <c r="Y83" s="126" t="str">
        <f t="shared" si="61"/>
        <v>-</v>
      </c>
      <c r="Z83" s="126" t="str">
        <f t="shared" si="62"/>
        <v>-</v>
      </c>
    </row>
    <row r="84" spans="3:26" ht="17.399999999999999" x14ac:dyDescent="0.35">
      <c r="C84" s="56" t="s">
        <v>131</v>
      </c>
      <c r="D84" s="57">
        <f t="shared" si="51"/>
        <v>0</v>
      </c>
      <c r="E84" s="56">
        <v>56</v>
      </c>
      <c r="F84" s="58">
        <f t="shared" si="25"/>
        <v>2</v>
      </c>
      <c r="G84" s="58">
        <f t="shared" si="33"/>
        <v>9</v>
      </c>
      <c r="H84" s="59" t="str">
        <f t="shared" si="47"/>
        <v>T_08</v>
      </c>
      <c r="I84" s="59" t="str">
        <f t="shared" si="48"/>
        <v>T_01</v>
      </c>
      <c r="J84" s="59">
        <f t="shared" ref="J84" si="63">J79+1</f>
        <v>12</v>
      </c>
      <c r="K84" s="60">
        <f t="shared" si="52"/>
        <v>43844</v>
      </c>
      <c r="P84"/>
      <c r="Q84" s="122">
        <v>56</v>
      </c>
      <c r="R84" s="122" t="str">
        <f t="shared" ca="1" si="49"/>
        <v>Holeby</v>
      </c>
      <c r="S84" s="122" t="str">
        <f t="shared" ca="1" si="50"/>
        <v>Assens</v>
      </c>
      <c r="T84" s="134"/>
      <c r="U84" s="123" t="str">
        <f t="shared" si="44"/>
        <v>-</v>
      </c>
      <c r="V84" s="146"/>
      <c r="W84" s="147"/>
      <c r="X84" s="148"/>
      <c r="Y84" s="121" t="str">
        <f t="shared" si="61"/>
        <v>-</v>
      </c>
      <c r="Z84" s="121" t="str">
        <f t="shared" si="62"/>
        <v>-</v>
      </c>
    </row>
    <row r="85" spans="3:26" ht="17.399999999999999" x14ac:dyDescent="0.35">
      <c r="C85" s="56" t="s">
        <v>132</v>
      </c>
      <c r="D85" s="57">
        <f t="shared" si="51"/>
        <v>0</v>
      </c>
      <c r="E85" s="56">
        <v>57</v>
      </c>
      <c r="F85" s="58">
        <f t="shared" si="25"/>
        <v>10</v>
      </c>
      <c r="G85" s="58">
        <f t="shared" si="33"/>
        <v>8</v>
      </c>
      <c r="H85" s="59" t="str">
        <f t="shared" si="47"/>
        <v>T_07</v>
      </c>
      <c r="I85" s="59" t="str">
        <f t="shared" si="48"/>
        <v>T_09</v>
      </c>
      <c r="J85" s="59">
        <f t="shared" ref="J85" si="64">J84</f>
        <v>12</v>
      </c>
      <c r="K85" s="60">
        <f t="shared" si="52"/>
        <v>43844</v>
      </c>
      <c r="P85"/>
      <c r="Q85" s="122">
        <v>57</v>
      </c>
      <c r="R85" s="122" t="str">
        <f t="shared" ca="1" si="49"/>
        <v>Glamsbjerg</v>
      </c>
      <c r="S85" s="122" t="str">
        <f t="shared" ca="1" si="50"/>
        <v>Indre By</v>
      </c>
      <c r="T85" s="134"/>
      <c r="U85" s="123" t="str">
        <f t="shared" si="44"/>
        <v>-</v>
      </c>
      <c r="V85" s="146"/>
      <c r="W85" s="147"/>
      <c r="X85" s="148"/>
      <c r="Y85" s="121" t="str">
        <f t="shared" ref="Y85:Y118" si="65">IF(ISNUMBER(W85)*ISNUMBER(X85),IF(W85&gt;X85,ptv, IF(W85=X85,ptu,ptt)),"-")</f>
        <v>-</v>
      </c>
      <c r="Z85" s="121" t="str">
        <f t="shared" ref="Z85:Z118" si="66">IF(ISNUMBER(W85)*ISNUMBER(X85),IF(Y85=ptv,ptt,IF(Y85=ptu,ptu,ptv)),"-")</f>
        <v>-</v>
      </c>
    </row>
    <row r="86" spans="3:26" ht="17.399999999999999" x14ac:dyDescent="0.35">
      <c r="C86" s="56" t="s">
        <v>133</v>
      </c>
      <c r="D86" s="57">
        <f t="shared" si="51"/>
        <v>0</v>
      </c>
      <c r="E86" s="56">
        <v>58</v>
      </c>
      <c r="F86" s="58">
        <f t="shared" si="25"/>
        <v>11</v>
      </c>
      <c r="G86" s="58">
        <f t="shared" si="33"/>
        <v>7</v>
      </c>
      <c r="H86" s="59" t="str">
        <f t="shared" si="47"/>
        <v>T_06</v>
      </c>
      <c r="I86" s="59" t="str">
        <f t="shared" si="48"/>
        <v>T_10</v>
      </c>
      <c r="J86" s="59">
        <f t="shared" si="39"/>
        <v>12</v>
      </c>
      <c r="K86" s="60">
        <f t="shared" si="52"/>
        <v>43844</v>
      </c>
      <c r="P86"/>
      <c r="Q86" s="122">
        <v>58</v>
      </c>
      <c r="R86" s="122" t="str">
        <f t="shared" ca="1" si="49"/>
        <v>Fjerritslev</v>
      </c>
      <c r="S86" s="122" t="str">
        <f t="shared" ca="1" si="50"/>
        <v>Jullerup</v>
      </c>
      <c r="T86" s="134"/>
      <c r="U86" s="123" t="str">
        <f t="shared" si="44"/>
        <v>-</v>
      </c>
      <c r="V86" s="146"/>
      <c r="W86" s="147"/>
      <c r="X86" s="148"/>
      <c r="Y86" s="121" t="str">
        <f t="shared" si="65"/>
        <v>-</v>
      </c>
      <c r="Z86" s="121" t="str">
        <f t="shared" si="66"/>
        <v>-</v>
      </c>
    </row>
    <row r="87" spans="3:26" ht="17.399999999999999" x14ac:dyDescent="0.35">
      <c r="C87" s="56" t="s">
        <v>134</v>
      </c>
      <c r="D87" s="57">
        <f t="shared" si="51"/>
        <v>0</v>
      </c>
      <c r="E87" s="56">
        <v>59</v>
      </c>
      <c r="F87" s="58">
        <f t="shared" si="25"/>
        <v>3</v>
      </c>
      <c r="G87" s="58">
        <f t="shared" si="33"/>
        <v>6</v>
      </c>
      <c r="H87" s="59" t="str">
        <f t="shared" si="47"/>
        <v>T_05</v>
      </c>
      <c r="I87" s="59" t="str">
        <f t="shared" si="48"/>
        <v>T_02</v>
      </c>
      <c r="J87" s="59">
        <f t="shared" si="39"/>
        <v>12</v>
      </c>
      <c r="K87" s="60">
        <f t="shared" si="52"/>
        <v>43844</v>
      </c>
      <c r="P87"/>
      <c r="Q87" s="122">
        <v>59</v>
      </c>
      <c r="R87" s="122" t="str">
        <f t="shared" ca="1" si="49"/>
        <v>Ejby</v>
      </c>
      <c r="S87" s="122" t="str">
        <f t="shared" ca="1" si="50"/>
        <v>Bogense</v>
      </c>
      <c r="T87" s="134"/>
      <c r="U87" s="123" t="str">
        <f t="shared" si="44"/>
        <v>-</v>
      </c>
      <c r="V87" s="146"/>
      <c r="W87" s="147"/>
      <c r="X87" s="148"/>
      <c r="Y87" s="121" t="str">
        <f t="shared" si="65"/>
        <v>-</v>
      </c>
      <c r="Z87" s="121" t="str">
        <f t="shared" si="66"/>
        <v>-</v>
      </c>
    </row>
    <row r="88" spans="3:26" ht="18" thickBot="1" x14ac:dyDescent="0.4">
      <c r="C88" s="56" t="s">
        <v>135</v>
      </c>
      <c r="D88" s="57">
        <f t="shared" si="51"/>
        <v>0</v>
      </c>
      <c r="E88" s="56">
        <v>60</v>
      </c>
      <c r="F88" s="58">
        <f t="shared" si="25"/>
        <v>4</v>
      </c>
      <c r="G88" s="58">
        <f t="shared" si="33"/>
        <v>5</v>
      </c>
      <c r="H88" s="59" t="str">
        <f t="shared" si="47"/>
        <v>T_04</v>
      </c>
      <c r="I88" s="59" t="str">
        <f t="shared" si="48"/>
        <v>T_03</v>
      </c>
      <c r="J88" s="59">
        <f t="shared" si="39"/>
        <v>12</v>
      </c>
      <c r="K88" s="60">
        <f t="shared" si="52"/>
        <v>43844</v>
      </c>
      <c r="P88"/>
      <c r="Q88" s="124">
        <v>60</v>
      </c>
      <c r="R88" s="124" t="str">
        <f t="shared" ca="1" si="49"/>
        <v>Dragør</v>
      </c>
      <c r="S88" s="124" t="str">
        <f t="shared" ca="1" si="50"/>
        <v>Christiansfelt</v>
      </c>
      <c r="T88" s="135"/>
      <c r="U88" s="125" t="str">
        <f t="shared" si="44"/>
        <v>-</v>
      </c>
      <c r="V88" s="149"/>
      <c r="W88" s="150"/>
      <c r="X88" s="151"/>
      <c r="Y88" s="126" t="str">
        <f t="shared" si="65"/>
        <v>-</v>
      </c>
      <c r="Z88" s="126" t="str">
        <f t="shared" si="66"/>
        <v>-</v>
      </c>
    </row>
    <row r="89" spans="3:26" ht="17.399999999999999" x14ac:dyDescent="0.35">
      <c r="C89" s="56" t="s">
        <v>136</v>
      </c>
      <c r="D89" s="57">
        <f t="shared" si="51"/>
        <v>0</v>
      </c>
      <c r="E89" s="56">
        <v>61</v>
      </c>
      <c r="F89" s="58">
        <f t="shared" si="25"/>
        <v>8</v>
      </c>
      <c r="G89" s="58">
        <f t="shared" si="33"/>
        <v>2</v>
      </c>
      <c r="H89" s="59" t="str">
        <f t="shared" si="47"/>
        <v>T_01</v>
      </c>
      <c r="I89" s="59" t="str">
        <f t="shared" si="48"/>
        <v>T_07</v>
      </c>
      <c r="J89" s="59">
        <f t="shared" ref="J89" si="67">J84+1</f>
        <v>13</v>
      </c>
      <c r="K89" s="60">
        <f t="shared" si="52"/>
        <v>43845</v>
      </c>
      <c r="P89"/>
      <c r="Q89" s="122">
        <v>61</v>
      </c>
      <c r="R89" s="122" t="str">
        <f t="shared" ca="1" si="49"/>
        <v>Assens</v>
      </c>
      <c r="S89" s="122" t="str">
        <f t="shared" ca="1" si="50"/>
        <v>Glamsbjerg</v>
      </c>
      <c r="T89" s="134"/>
      <c r="U89" s="123" t="str">
        <f t="shared" si="44"/>
        <v>-</v>
      </c>
      <c r="V89" s="146"/>
      <c r="W89" s="147"/>
      <c r="X89" s="148"/>
      <c r="Y89" s="121" t="str">
        <f t="shared" si="65"/>
        <v>-</v>
      </c>
      <c r="Z89" s="121" t="str">
        <f t="shared" si="66"/>
        <v>-</v>
      </c>
    </row>
    <row r="90" spans="3:26" ht="17.399999999999999" x14ac:dyDescent="0.35">
      <c r="C90" s="56" t="s">
        <v>137</v>
      </c>
      <c r="D90" s="57">
        <f t="shared" si="51"/>
        <v>0</v>
      </c>
      <c r="E90" s="56">
        <v>62</v>
      </c>
      <c r="F90" s="58">
        <f t="shared" si="25"/>
        <v>9</v>
      </c>
      <c r="G90" s="58">
        <f t="shared" si="33"/>
        <v>7</v>
      </c>
      <c r="H90" s="59" t="str">
        <f t="shared" si="47"/>
        <v>T_06</v>
      </c>
      <c r="I90" s="59" t="str">
        <f t="shared" si="48"/>
        <v>T_08</v>
      </c>
      <c r="J90" s="59">
        <f t="shared" ref="J90" si="68">J89</f>
        <v>13</v>
      </c>
      <c r="K90" s="60">
        <f t="shared" si="52"/>
        <v>43845</v>
      </c>
      <c r="P90"/>
      <c r="Q90" s="122">
        <v>62</v>
      </c>
      <c r="R90" s="122" t="str">
        <f t="shared" ca="1" si="49"/>
        <v>Fjerritslev</v>
      </c>
      <c r="S90" s="122" t="str">
        <f t="shared" ca="1" si="50"/>
        <v>Holeby</v>
      </c>
      <c r="T90" s="134"/>
      <c r="U90" s="123" t="str">
        <f t="shared" si="44"/>
        <v>-</v>
      </c>
      <c r="V90" s="146"/>
      <c r="W90" s="147"/>
      <c r="X90" s="148"/>
      <c r="Y90" s="121" t="str">
        <f t="shared" si="65"/>
        <v>-</v>
      </c>
      <c r="Z90" s="121" t="str">
        <f t="shared" si="66"/>
        <v>-</v>
      </c>
    </row>
    <row r="91" spans="3:26" ht="17.399999999999999" x14ac:dyDescent="0.35">
      <c r="C91" s="56" t="s">
        <v>138</v>
      </c>
      <c r="D91" s="57">
        <f t="shared" si="51"/>
        <v>0</v>
      </c>
      <c r="E91" s="56">
        <v>63</v>
      </c>
      <c r="F91" s="58">
        <f t="shared" si="25"/>
        <v>10</v>
      </c>
      <c r="G91" s="58">
        <f t="shared" si="33"/>
        <v>6</v>
      </c>
      <c r="H91" s="59" t="str">
        <f t="shared" si="47"/>
        <v>T_05</v>
      </c>
      <c r="I91" s="59" t="str">
        <f t="shared" si="48"/>
        <v>T_09</v>
      </c>
      <c r="J91" s="59">
        <f t="shared" si="39"/>
        <v>13</v>
      </c>
      <c r="K91" s="60">
        <f t="shared" si="52"/>
        <v>43845</v>
      </c>
      <c r="P91"/>
      <c r="Q91" s="122">
        <v>63</v>
      </c>
      <c r="R91" s="122" t="str">
        <f t="shared" ca="1" si="49"/>
        <v>Ejby</v>
      </c>
      <c r="S91" s="122" t="str">
        <f t="shared" ca="1" si="50"/>
        <v>Indre By</v>
      </c>
      <c r="T91" s="134"/>
      <c r="U91" s="123" t="str">
        <f t="shared" si="44"/>
        <v>-</v>
      </c>
      <c r="V91" s="146"/>
      <c r="W91" s="147"/>
      <c r="X91" s="148"/>
      <c r="Y91" s="121" t="str">
        <f t="shared" si="65"/>
        <v>-</v>
      </c>
      <c r="Z91" s="121" t="str">
        <f t="shared" si="66"/>
        <v>-</v>
      </c>
    </row>
    <row r="92" spans="3:26" ht="17.399999999999999" x14ac:dyDescent="0.35">
      <c r="C92" s="56" t="s">
        <v>139</v>
      </c>
      <c r="D92" s="57">
        <f t="shared" si="51"/>
        <v>0</v>
      </c>
      <c r="E92" s="56">
        <v>64</v>
      </c>
      <c r="F92" s="58">
        <f t="shared" si="25"/>
        <v>11</v>
      </c>
      <c r="G92" s="58">
        <f t="shared" si="33"/>
        <v>5</v>
      </c>
      <c r="H92" s="59" t="str">
        <f t="shared" si="47"/>
        <v>T_04</v>
      </c>
      <c r="I92" s="59" t="str">
        <f t="shared" si="48"/>
        <v>T_10</v>
      </c>
      <c r="J92" s="59">
        <f t="shared" si="39"/>
        <v>13</v>
      </c>
      <c r="K92" s="60">
        <f t="shared" si="52"/>
        <v>43845</v>
      </c>
      <c r="P92"/>
      <c r="Q92" s="122">
        <v>64</v>
      </c>
      <c r="R92" s="122" t="str">
        <f t="shared" ca="1" si="49"/>
        <v>Dragør</v>
      </c>
      <c r="S92" s="122" t="str">
        <f t="shared" ca="1" si="50"/>
        <v>Jullerup</v>
      </c>
      <c r="T92" s="134"/>
      <c r="U92" s="123" t="str">
        <f t="shared" si="44"/>
        <v>-</v>
      </c>
      <c r="V92" s="146"/>
      <c r="W92" s="147"/>
      <c r="X92" s="148"/>
      <c r="Y92" s="121" t="str">
        <f t="shared" si="65"/>
        <v>-</v>
      </c>
      <c r="Z92" s="121" t="str">
        <f t="shared" si="66"/>
        <v>-</v>
      </c>
    </row>
    <row r="93" spans="3:26" ht="18" thickBot="1" x14ac:dyDescent="0.4">
      <c r="C93" s="56" t="s">
        <v>140</v>
      </c>
      <c r="D93" s="57">
        <f t="shared" si="51"/>
        <v>0</v>
      </c>
      <c r="E93" s="56">
        <v>65</v>
      </c>
      <c r="F93" s="58">
        <f t="shared" si="25"/>
        <v>3</v>
      </c>
      <c r="G93" s="58">
        <f t="shared" si="33"/>
        <v>4</v>
      </c>
      <c r="H93" s="59" t="str">
        <f t="shared" ref="H93:H118" si="69">INDEX(HxA,G93,1)</f>
        <v>T_03</v>
      </c>
      <c r="I93" s="59" t="str">
        <f t="shared" ref="I93:I118" si="70">INDEX(HxA,1,F93)</f>
        <v>T_02</v>
      </c>
      <c r="J93" s="59">
        <f t="shared" si="39"/>
        <v>13</v>
      </c>
      <c r="K93" s="60">
        <f t="shared" si="52"/>
        <v>43845</v>
      </c>
      <c r="P93"/>
      <c r="Q93" s="124">
        <v>65</v>
      </c>
      <c r="R93" s="124" t="str">
        <f t="shared" ref="R93:R118" ca="1" si="71">INDIRECT(H93)</f>
        <v>Christiansfelt</v>
      </c>
      <c r="S93" s="124" t="str">
        <f t="shared" ref="S93:S118" ca="1" si="72">INDIRECT(I93)</f>
        <v>Bogense</v>
      </c>
      <c r="T93" s="135"/>
      <c r="U93" s="125" t="str">
        <f t="shared" si="44"/>
        <v>-</v>
      </c>
      <c r="V93" s="149"/>
      <c r="W93" s="150"/>
      <c r="X93" s="151"/>
      <c r="Y93" s="126" t="str">
        <f t="shared" si="65"/>
        <v>-</v>
      </c>
      <c r="Z93" s="126" t="str">
        <f t="shared" si="66"/>
        <v>-</v>
      </c>
    </row>
    <row r="94" spans="3:26" ht="17.399999999999999" x14ac:dyDescent="0.35">
      <c r="C94" s="56" t="s">
        <v>141</v>
      </c>
      <c r="D94" s="57">
        <f t="shared" ref="D94:D118" si="73">OR(H94=H93,H94=I93,I94=H93,I94=I93)*1</f>
        <v>0</v>
      </c>
      <c r="E94" s="56">
        <v>66</v>
      </c>
      <c r="F94" s="58">
        <f t="shared" ref="F94:F118" si="74">SUMPRODUCT((HxA=$E94)*(COLUMN(HxA)))-COLUMN(HxA)+1</f>
        <v>2</v>
      </c>
      <c r="G94" s="58">
        <f t="shared" ref="G94:G118" si="75">SUMPRODUCT((HxA=$E94)*(ROW(HxA)))-ROW(HxA)+1</f>
        <v>7</v>
      </c>
      <c r="H94" s="59" t="str">
        <f t="shared" si="69"/>
        <v>T_06</v>
      </c>
      <c r="I94" s="59" t="str">
        <f t="shared" si="70"/>
        <v>T_01</v>
      </c>
      <c r="J94" s="59">
        <f t="shared" ref="J94" si="76">J89+1</f>
        <v>14</v>
      </c>
      <c r="K94" s="60">
        <f t="shared" ref="K94:K118" si="77">$K$29+J94</f>
        <v>43846</v>
      </c>
      <c r="P94"/>
      <c r="Q94" s="122">
        <v>66</v>
      </c>
      <c r="R94" s="122" t="str">
        <f t="shared" ca="1" si="71"/>
        <v>Fjerritslev</v>
      </c>
      <c r="S94" s="122" t="str">
        <f t="shared" ca="1" si="72"/>
        <v>Assens</v>
      </c>
      <c r="T94" s="134"/>
      <c r="U94" s="123" t="str">
        <f t="shared" si="44"/>
        <v>-</v>
      </c>
      <c r="V94" s="146"/>
      <c r="W94" s="147"/>
      <c r="X94" s="148"/>
      <c r="Y94" s="121" t="str">
        <f t="shared" si="65"/>
        <v>-</v>
      </c>
      <c r="Z94" s="121" t="str">
        <f t="shared" si="66"/>
        <v>-</v>
      </c>
    </row>
    <row r="95" spans="3:26" ht="17.399999999999999" x14ac:dyDescent="0.35">
      <c r="C95" s="56" t="s">
        <v>142</v>
      </c>
      <c r="D95" s="57">
        <f t="shared" si="73"/>
        <v>0</v>
      </c>
      <c r="E95" s="56">
        <v>67</v>
      </c>
      <c r="F95" s="58">
        <f t="shared" si="74"/>
        <v>8</v>
      </c>
      <c r="G95" s="58">
        <f t="shared" si="75"/>
        <v>6</v>
      </c>
      <c r="H95" s="59" t="str">
        <f t="shared" si="69"/>
        <v>T_05</v>
      </c>
      <c r="I95" s="59" t="str">
        <f t="shared" si="70"/>
        <v>T_07</v>
      </c>
      <c r="J95" s="59">
        <f t="shared" ref="J95" si="78">J94</f>
        <v>14</v>
      </c>
      <c r="K95" s="60">
        <f t="shared" si="77"/>
        <v>43846</v>
      </c>
      <c r="P95"/>
      <c r="Q95" s="122">
        <v>67</v>
      </c>
      <c r="R95" s="122" t="str">
        <f t="shared" ca="1" si="71"/>
        <v>Ejby</v>
      </c>
      <c r="S95" s="122" t="str">
        <f t="shared" ca="1" si="72"/>
        <v>Glamsbjerg</v>
      </c>
      <c r="T95" s="134"/>
      <c r="U95" s="123" t="str">
        <f t="shared" si="44"/>
        <v>-</v>
      </c>
      <c r="V95" s="146"/>
      <c r="W95" s="147"/>
      <c r="X95" s="148"/>
      <c r="Y95" s="121" t="str">
        <f t="shared" si="65"/>
        <v>-</v>
      </c>
      <c r="Z95" s="121" t="str">
        <f t="shared" si="66"/>
        <v>-</v>
      </c>
    </row>
    <row r="96" spans="3:26" ht="17.399999999999999" x14ac:dyDescent="0.35">
      <c r="C96" s="56" t="s">
        <v>143</v>
      </c>
      <c r="D96" s="57">
        <f t="shared" si="73"/>
        <v>0</v>
      </c>
      <c r="E96" s="56">
        <v>68</v>
      </c>
      <c r="F96" s="58">
        <f t="shared" si="74"/>
        <v>9</v>
      </c>
      <c r="G96" s="58">
        <f t="shared" si="75"/>
        <v>5</v>
      </c>
      <c r="H96" s="59" t="str">
        <f t="shared" si="69"/>
        <v>T_04</v>
      </c>
      <c r="I96" s="59" t="str">
        <f t="shared" si="70"/>
        <v>T_08</v>
      </c>
      <c r="J96" s="59">
        <f t="shared" si="39"/>
        <v>14</v>
      </c>
      <c r="K96" s="60">
        <f t="shared" si="77"/>
        <v>43846</v>
      </c>
      <c r="P96"/>
      <c r="Q96" s="122">
        <v>68</v>
      </c>
      <c r="R96" s="122" t="str">
        <f t="shared" ca="1" si="71"/>
        <v>Dragør</v>
      </c>
      <c r="S96" s="122" t="str">
        <f t="shared" ca="1" si="72"/>
        <v>Holeby</v>
      </c>
      <c r="T96" s="134"/>
      <c r="U96" s="123" t="str">
        <f t="shared" si="44"/>
        <v>-</v>
      </c>
      <c r="V96" s="146"/>
      <c r="W96" s="147"/>
      <c r="X96" s="148"/>
      <c r="Y96" s="121" t="str">
        <f t="shared" si="65"/>
        <v>-</v>
      </c>
      <c r="Z96" s="121" t="str">
        <f t="shared" si="66"/>
        <v>-</v>
      </c>
    </row>
    <row r="97" spans="3:26" ht="17.399999999999999" x14ac:dyDescent="0.35">
      <c r="C97" s="56" t="s">
        <v>144</v>
      </c>
      <c r="D97" s="57">
        <f t="shared" si="73"/>
        <v>0</v>
      </c>
      <c r="E97" s="56">
        <v>69</v>
      </c>
      <c r="F97" s="58">
        <f t="shared" si="74"/>
        <v>10</v>
      </c>
      <c r="G97" s="58">
        <f t="shared" si="75"/>
        <v>4</v>
      </c>
      <c r="H97" s="59" t="str">
        <f t="shared" si="69"/>
        <v>T_03</v>
      </c>
      <c r="I97" s="59" t="str">
        <f t="shared" si="70"/>
        <v>T_09</v>
      </c>
      <c r="J97" s="59">
        <f t="shared" si="39"/>
        <v>14</v>
      </c>
      <c r="K97" s="60">
        <f t="shared" si="77"/>
        <v>43846</v>
      </c>
      <c r="P97"/>
      <c r="Q97" s="122">
        <v>69</v>
      </c>
      <c r="R97" s="122" t="str">
        <f t="shared" ca="1" si="71"/>
        <v>Christiansfelt</v>
      </c>
      <c r="S97" s="122" t="str">
        <f t="shared" ca="1" si="72"/>
        <v>Indre By</v>
      </c>
      <c r="T97" s="134"/>
      <c r="U97" s="123" t="str">
        <f t="shared" si="44"/>
        <v>-</v>
      </c>
      <c r="V97" s="146"/>
      <c r="W97" s="147"/>
      <c r="X97" s="148"/>
      <c r="Y97" s="121" t="str">
        <f t="shared" si="65"/>
        <v>-</v>
      </c>
      <c r="Z97" s="121" t="str">
        <f t="shared" si="66"/>
        <v>-</v>
      </c>
    </row>
    <row r="98" spans="3:26" ht="18" thickBot="1" x14ac:dyDescent="0.4">
      <c r="C98" s="56" t="s">
        <v>145</v>
      </c>
      <c r="D98" s="57">
        <f t="shared" si="73"/>
        <v>0</v>
      </c>
      <c r="E98" s="56">
        <v>70</v>
      </c>
      <c r="F98" s="58">
        <f t="shared" si="74"/>
        <v>11</v>
      </c>
      <c r="G98" s="58">
        <f t="shared" si="75"/>
        <v>3</v>
      </c>
      <c r="H98" s="59" t="str">
        <f t="shared" si="69"/>
        <v>T_02</v>
      </c>
      <c r="I98" s="59" t="str">
        <f t="shared" si="70"/>
        <v>T_10</v>
      </c>
      <c r="J98" s="59">
        <f t="shared" si="39"/>
        <v>14</v>
      </c>
      <c r="K98" s="60">
        <f t="shared" si="77"/>
        <v>43846</v>
      </c>
      <c r="P98"/>
      <c r="Q98" s="124">
        <v>70</v>
      </c>
      <c r="R98" s="124" t="str">
        <f t="shared" ca="1" si="71"/>
        <v>Bogense</v>
      </c>
      <c r="S98" s="124" t="str">
        <f t="shared" ca="1" si="72"/>
        <v>Jullerup</v>
      </c>
      <c r="T98" s="135"/>
      <c r="U98" s="125" t="str">
        <f t="shared" si="44"/>
        <v>-</v>
      </c>
      <c r="V98" s="149"/>
      <c r="W98" s="150"/>
      <c r="X98" s="151"/>
      <c r="Y98" s="126" t="str">
        <f t="shared" si="65"/>
        <v>-</v>
      </c>
      <c r="Z98" s="126" t="str">
        <f t="shared" si="66"/>
        <v>-</v>
      </c>
    </row>
    <row r="99" spans="3:26" ht="17.399999999999999" x14ac:dyDescent="0.35">
      <c r="C99" s="56" t="s">
        <v>146</v>
      </c>
      <c r="D99" s="57">
        <f t="shared" si="73"/>
        <v>0</v>
      </c>
      <c r="E99" s="56">
        <v>71</v>
      </c>
      <c r="F99" s="58">
        <f t="shared" si="74"/>
        <v>6</v>
      </c>
      <c r="G99" s="58">
        <f t="shared" si="75"/>
        <v>2</v>
      </c>
      <c r="H99" s="59" t="str">
        <f t="shared" si="69"/>
        <v>T_01</v>
      </c>
      <c r="I99" s="59" t="str">
        <f t="shared" si="70"/>
        <v>T_05</v>
      </c>
      <c r="J99" s="59">
        <f t="shared" ref="J99" si="79">J94+1</f>
        <v>15</v>
      </c>
      <c r="K99" s="60">
        <f t="shared" si="77"/>
        <v>43847</v>
      </c>
      <c r="P99"/>
      <c r="Q99" s="122">
        <v>71</v>
      </c>
      <c r="R99" s="122" t="str">
        <f t="shared" ca="1" si="71"/>
        <v>Assens</v>
      </c>
      <c r="S99" s="122" t="str">
        <f t="shared" ca="1" si="72"/>
        <v>Ejby</v>
      </c>
      <c r="T99" s="134"/>
      <c r="U99" s="123" t="str">
        <f t="shared" si="44"/>
        <v>-</v>
      </c>
      <c r="V99" s="146"/>
      <c r="W99" s="147"/>
      <c r="X99" s="148"/>
      <c r="Y99" s="121" t="str">
        <f t="shared" si="65"/>
        <v>-</v>
      </c>
      <c r="Z99" s="121" t="str">
        <f t="shared" si="66"/>
        <v>-</v>
      </c>
    </row>
    <row r="100" spans="3:26" ht="17.399999999999999" x14ac:dyDescent="0.35">
      <c r="C100" s="56" t="s">
        <v>147</v>
      </c>
      <c r="D100" s="57">
        <f t="shared" si="73"/>
        <v>0</v>
      </c>
      <c r="E100" s="56">
        <v>72</v>
      </c>
      <c r="F100" s="58">
        <f t="shared" si="74"/>
        <v>7</v>
      </c>
      <c r="G100" s="58">
        <f t="shared" si="75"/>
        <v>5</v>
      </c>
      <c r="H100" s="59" t="str">
        <f t="shared" si="69"/>
        <v>T_04</v>
      </c>
      <c r="I100" s="59" t="str">
        <f t="shared" si="70"/>
        <v>T_06</v>
      </c>
      <c r="J100" s="59">
        <f t="shared" ref="J100" si="80">J99</f>
        <v>15</v>
      </c>
      <c r="K100" s="60">
        <f t="shared" si="77"/>
        <v>43847</v>
      </c>
      <c r="P100"/>
      <c r="Q100" s="122">
        <v>72</v>
      </c>
      <c r="R100" s="122" t="str">
        <f t="shared" ca="1" si="71"/>
        <v>Dragør</v>
      </c>
      <c r="S100" s="122" t="str">
        <f t="shared" ca="1" si="72"/>
        <v>Fjerritslev</v>
      </c>
      <c r="T100" s="134"/>
      <c r="U100" s="123" t="str">
        <f t="shared" si="44"/>
        <v>-</v>
      </c>
      <c r="V100" s="146"/>
      <c r="W100" s="147"/>
      <c r="X100" s="148"/>
      <c r="Y100" s="121" t="str">
        <f t="shared" si="65"/>
        <v>-</v>
      </c>
      <c r="Z100" s="121" t="str">
        <f t="shared" si="66"/>
        <v>-</v>
      </c>
    </row>
    <row r="101" spans="3:26" ht="17.399999999999999" x14ac:dyDescent="0.35">
      <c r="C101" s="56" t="s">
        <v>148</v>
      </c>
      <c r="D101" s="57">
        <f t="shared" si="73"/>
        <v>0</v>
      </c>
      <c r="E101" s="56">
        <v>73</v>
      </c>
      <c r="F101" s="58">
        <f t="shared" si="74"/>
        <v>8</v>
      </c>
      <c r="G101" s="58">
        <f t="shared" si="75"/>
        <v>4</v>
      </c>
      <c r="H101" s="59" t="str">
        <f t="shared" si="69"/>
        <v>T_03</v>
      </c>
      <c r="I101" s="59" t="str">
        <f t="shared" si="70"/>
        <v>T_07</v>
      </c>
      <c r="J101" s="59">
        <f t="shared" si="39"/>
        <v>15</v>
      </c>
      <c r="K101" s="60">
        <f t="shared" si="77"/>
        <v>43847</v>
      </c>
      <c r="P101"/>
      <c r="Q101" s="122">
        <v>73</v>
      </c>
      <c r="R101" s="122" t="str">
        <f t="shared" ca="1" si="71"/>
        <v>Christiansfelt</v>
      </c>
      <c r="S101" s="122" t="str">
        <f t="shared" ca="1" si="72"/>
        <v>Glamsbjerg</v>
      </c>
      <c r="T101" s="134"/>
      <c r="U101" s="123" t="str">
        <f t="shared" si="44"/>
        <v>-</v>
      </c>
      <c r="V101" s="146"/>
      <c r="W101" s="147"/>
      <c r="X101" s="148"/>
      <c r="Y101" s="121" t="str">
        <f t="shared" si="65"/>
        <v>-</v>
      </c>
      <c r="Z101" s="121" t="str">
        <f t="shared" si="66"/>
        <v>-</v>
      </c>
    </row>
    <row r="102" spans="3:26" ht="17.399999999999999" x14ac:dyDescent="0.35">
      <c r="C102" s="56" t="s">
        <v>149</v>
      </c>
      <c r="D102" s="57">
        <f t="shared" si="73"/>
        <v>0</v>
      </c>
      <c r="E102" s="56">
        <v>74</v>
      </c>
      <c r="F102" s="58">
        <f t="shared" si="74"/>
        <v>9</v>
      </c>
      <c r="G102" s="58">
        <f t="shared" si="75"/>
        <v>3</v>
      </c>
      <c r="H102" s="59" t="str">
        <f t="shared" si="69"/>
        <v>T_02</v>
      </c>
      <c r="I102" s="59" t="str">
        <f t="shared" si="70"/>
        <v>T_08</v>
      </c>
      <c r="J102" s="59">
        <f t="shared" si="39"/>
        <v>15</v>
      </c>
      <c r="K102" s="60">
        <f t="shared" si="77"/>
        <v>43847</v>
      </c>
      <c r="P102"/>
      <c r="Q102" s="122">
        <v>74</v>
      </c>
      <c r="R102" s="122" t="str">
        <f t="shared" ca="1" si="71"/>
        <v>Bogense</v>
      </c>
      <c r="S102" s="122" t="str">
        <f t="shared" ca="1" si="72"/>
        <v>Holeby</v>
      </c>
      <c r="T102" s="134"/>
      <c r="U102" s="123" t="str">
        <f t="shared" si="44"/>
        <v>-</v>
      </c>
      <c r="V102" s="146"/>
      <c r="W102" s="147"/>
      <c r="X102" s="148"/>
      <c r="Y102" s="121" t="str">
        <f t="shared" si="65"/>
        <v>-</v>
      </c>
      <c r="Z102" s="121" t="str">
        <f t="shared" si="66"/>
        <v>-</v>
      </c>
    </row>
    <row r="103" spans="3:26" ht="18" thickBot="1" x14ac:dyDescent="0.4">
      <c r="C103" s="56" t="s">
        <v>150</v>
      </c>
      <c r="D103" s="57">
        <f t="shared" si="73"/>
        <v>0</v>
      </c>
      <c r="E103" s="56">
        <v>75</v>
      </c>
      <c r="F103" s="58">
        <f t="shared" si="74"/>
        <v>10</v>
      </c>
      <c r="G103" s="58">
        <f t="shared" si="75"/>
        <v>11</v>
      </c>
      <c r="H103" s="59" t="str">
        <f t="shared" si="69"/>
        <v>T_10</v>
      </c>
      <c r="I103" s="59" t="str">
        <f t="shared" si="70"/>
        <v>T_09</v>
      </c>
      <c r="J103" s="59">
        <f t="shared" si="39"/>
        <v>15</v>
      </c>
      <c r="K103" s="60">
        <f t="shared" si="77"/>
        <v>43847</v>
      </c>
      <c r="P103"/>
      <c r="Q103" s="124">
        <v>75</v>
      </c>
      <c r="R103" s="124" t="str">
        <f t="shared" ca="1" si="71"/>
        <v>Jullerup</v>
      </c>
      <c r="S103" s="124" t="str">
        <f t="shared" ca="1" si="72"/>
        <v>Indre By</v>
      </c>
      <c r="T103" s="135"/>
      <c r="U103" s="125" t="str">
        <f t="shared" si="44"/>
        <v>-</v>
      </c>
      <c r="V103" s="149"/>
      <c r="W103" s="150"/>
      <c r="X103" s="151"/>
      <c r="Y103" s="126" t="str">
        <f t="shared" si="65"/>
        <v>-</v>
      </c>
      <c r="Z103" s="126" t="str">
        <f t="shared" si="66"/>
        <v>-</v>
      </c>
    </row>
    <row r="104" spans="3:26" ht="17.399999999999999" x14ac:dyDescent="0.35">
      <c r="C104" s="56" t="s">
        <v>151</v>
      </c>
      <c r="D104" s="57">
        <f t="shared" si="73"/>
        <v>0</v>
      </c>
      <c r="E104" s="56">
        <v>76</v>
      </c>
      <c r="F104" s="58">
        <f t="shared" si="74"/>
        <v>2</v>
      </c>
      <c r="G104" s="58">
        <f t="shared" si="75"/>
        <v>5</v>
      </c>
      <c r="H104" s="59" t="str">
        <f t="shared" si="69"/>
        <v>T_04</v>
      </c>
      <c r="I104" s="59" t="str">
        <f t="shared" si="70"/>
        <v>T_01</v>
      </c>
      <c r="J104" s="59">
        <f t="shared" ref="J104" si="81">J99+1</f>
        <v>16</v>
      </c>
      <c r="K104" s="60">
        <f t="shared" si="77"/>
        <v>43848</v>
      </c>
      <c r="P104"/>
      <c r="Q104" s="122">
        <v>76</v>
      </c>
      <c r="R104" s="122" t="str">
        <f t="shared" ca="1" si="71"/>
        <v>Dragør</v>
      </c>
      <c r="S104" s="122" t="str">
        <f t="shared" ca="1" si="72"/>
        <v>Assens</v>
      </c>
      <c r="T104" s="134"/>
      <c r="U104" s="123" t="str">
        <f t="shared" si="44"/>
        <v>-</v>
      </c>
      <c r="V104" s="146"/>
      <c r="W104" s="147"/>
      <c r="X104" s="148"/>
      <c r="Y104" s="121" t="str">
        <f t="shared" si="65"/>
        <v>-</v>
      </c>
      <c r="Z104" s="121" t="str">
        <f t="shared" si="66"/>
        <v>-</v>
      </c>
    </row>
    <row r="105" spans="3:26" ht="17.399999999999999" x14ac:dyDescent="0.35">
      <c r="C105" s="56" t="s">
        <v>152</v>
      </c>
      <c r="D105" s="57">
        <f t="shared" si="73"/>
        <v>0</v>
      </c>
      <c r="E105" s="56">
        <v>77</v>
      </c>
      <c r="F105" s="58">
        <f t="shared" si="74"/>
        <v>6</v>
      </c>
      <c r="G105" s="58">
        <f t="shared" si="75"/>
        <v>4</v>
      </c>
      <c r="H105" s="59" t="str">
        <f t="shared" si="69"/>
        <v>T_03</v>
      </c>
      <c r="I105" s="59" t="str">
        <f t="shared" si="70"/>
        <v>T_05</v>
      </c>
      <c r="J105" s="59">
        <f t="shared" ref="J105" si="82">J104</f>
        <v>16</v>
      </c>
      <c r="K105" s="60">
        <f t="shared" si="77"/>
        <v>43848</v>
      </c>
      <c r="P105"/>
      <c r="Q105" s="122">
        <v>77</v>
      </c>
      <c r="R105" s="122" t="str">
        <f t="shared" ca="1" si="71"/>
        <v>Christiansfelt</v>
      </c>
      <c r="S105" s="122" t="str">
        <f t="shared" ca="1" si="72"/>
        <v>Ejby</v>
      </c>
      <c r="T105" s="134"/>
      <c r="U105" s="123" t="str">
        <f t="shared" si="44"/>
        <v>-</v>
      </c>
      <c r="V105" s="146"/>
      <c r="W105" s="147"/>
      <c r="X105" s="148"/>
      <c r="Y105" s="121" t="str">
        <f t="shared" si="65"/>
        <v>-</v>
      </c>
      <c r="Z105" s="121" t="str">
        <f t="shared" si="66"/>
        <v>-</v>
      </c>
    </row>
    <row r="106" spans="3:26" ht="17.399999999999999" x14ac:dyDescent="0.35">
      <c r="C106" s="56" t="s">
        <v>153</v>
      </c>
      <c r="D106" s="57">
        <f t="shared" si="73"/>
        <v>0</v>
      </c>
      <c r="E106" s="56">
        <v>78</v>
      </c>
      <c r="F106" s="58">
        <f t="shared" si="74"/>
        <v>7</v>
      </c>
      <c r="G106" s="58">
        <f t="shared" si="75"/>
        <v>3</v>
      </c>
      <c r="H106" s="59" t="str">
        <f t="shared" si="69"/>
        <v>T_02</v>
      </c>
      <c r="I106" s="59" t="str">
        <f t="shared" si="70"/>
        <v>T_06</v>
      </c>
      <c r="J106" s="59">
        <f t="shared" si="39"/>
        <v>16</v>
      </c>
      <c r="K106" s="60">
        <f t="shared" si="77"/>
        <v>43848</v>
      </c>
      <c r="P106"/>
      <c r="Q106" s="122">
        <v>78</v>
      </c>
      <c r="R106" s="122" t="str">
        <f t="shared" ca="1" si="71"/>
        <v>Bogense</v>
      </c>
      <c r="S106" s="122" t="str">
        <f t="shared" ca="1" si="72"/>
        <v>Fjerritslev</v>
      </c>
      <c r="T106" s="134"/>
      <c r="U106" s="123" t="str">
        <f t="shared" si="44"/>
        <v>-</v>
      </c>
      <c r="V106" s="146"/>
      <c r="W106" s="147"/>
      <c r="X106" s="148"/>
      <c r="Y106" s="121" t="str">
        <f t="shared" si="65"/>
        <v>-</v>
      </c>
      <c r="Z106" s="121" t="str">
        <f t="shared" si="66"/>
        <v>-</v>
      </c>
    </row>
    <row r="107" spans="3:26" ht="17.399999999999999" x14ac:dyDescent="0.35">
      <c r="C107" s="56" t="s">
        <v>154</v>
      </c>
      <c r="D107" s="57">
        <f t="shared" si="73"/>
        <v>0</v>
      </c>
      <c r="E107" s="56">
        <v>79</v>
      </c>
      <c r="F107" s="58">
        <f t="shared" si="74"/>
        <v>8</v>
      </c>
      <c r="G107" s="58">
        <f t="shared" si="75"/>
        <v>11</v>
      </c>
      <c r="H107" s="59" t="str">
        <f t="shared" si="69"/>
        <v>T_10</v>
      </c>
      <c r="I107" s="59" t="str">
        <f t="shared" si="70"/>
        <v>T_07</v>
      </c>
      <c r="J107" s="59">
        <f t="shared" si="39"/>
        <v>16</v>
      </c>
      <c r="K107" s="60">
        <f t="shared" si="77"/>
        <v>43848</v>
      </c>
      <c r="P107"/>
      <c r="Q107" s="122">
        <v>79</v>
      </c>
      <c r="R107" s="122" t="str">
        <f t="shared" ca="1" si="71"/>
        <v>Jullerup</v>
      </c>
      <c r="S107" s="122" t="str">
        <f t="shared" ca="1" si="72"/>
        <v>Glamsbjerg</v>
      </c>
      <c r="T107" s="134"/>
      <c r="U107" s="123" t="str">
        <f t="shared" si="44"/>
        <v>-</v>
      </c>
      <c r="V107" s="146"/>
      <c r="W107" s="147"/>
      <c r="X107" s="148"/>
      <c r="Y107" s="121" t="str">
        <f t="shared" si="65"/>
        <v>-</v>
      </c>
      <c r="Z107" s="121" t="str">
        <f t="shared" si="66"/>
        <v>-</v>
      </c>
    </row>
    <row r="108" spans="3:26" ht="18" thickBot="1" x14ac:dyDescent="0.4">
      <c r="C108" s="56" t="s">
        <v>155</v>
      </c>
      <c r="D108" s="57">
        <f t="shared" si="73"/>
        <v>0</v>
      </c>
      <c r="E108" s="56">
        <v>80</v>
      </c>
      <c r="F108" s="58">
        <f t="shared" si="74"/>
        <v>9</v>
      </c>
      <c r="G108" s="58">
        <f t="shared" si="75"/>
        <v>10</v>
      </c>
      <c r="H108" s="59" t="str">
        <f t="shared" si="69"/>
        <v>T_09</v>
      </c>
      <c r="I108" s="59" t="str">
        <f t="shared" si="70"/>
        <v>T_08</v>
      </c>
      <c r="J108" s="59">
        <f t="shared" si="39"/>
        <v>16</v>
      </c>
      <c r="K108" s="60">
        <f t="shared" si="77"/>
        <v>43848</v>
      </c>
      <c r="P108"/>
      <c r="Q108" s="124">
        <v>80</v>
      </c>
      <c r="R108" s="124" t="str">
        <f t="shared" ca="1" si="71"/>
        <v>Indre By</v>
      </c>
      <c r="S108" s="124" t="str">
        <f t="shared" ca="1" si="72"/>
        <v>Holeby</v>
      </c>
      <c r="T108" s="135"/>
      <c r="U108" s="125" t="str">
        <f t="shared" si="44"/>
        <v>-</v>
      </c>
      <c r="V108" s="149"/>
      <c r="W108" s="150"/>
      <c r="X108" s="151"/>
      <c r="Y108" s="126" t="str">
        <f t="shared" si="65"/>
        <v>-</v>
      </c>
      <c r="Z108" s="126" t="str">
        <f t="shared" si="66"/>
        <v>-</v>
      </c>
    </row>
    <row r="109" spans="3:26" ht="17.399999999999999" x14ac:dyDescent="0.35">
      <c r="C109" s="56" t="s">
        <v>156</v>
      </c>
      <c r="D109" s="57">
        <f t="shared" si="73"/>
        <v>0</v>
      </c>
      <c r="E109" s="56">
        <v>81</v>
      </c>
      <c r="F109" s="58">
        <f t="shared" si="74"/>
        <v>4</v>
      </c>
      <c r="G109" s="58">
        <f t="shared" si="75"/>
        <v>2</v>
      </c>
      <c r="H109" s="59" t="str">
        <f t="shared" si="69"/>
        <v>T_01</v>
      </c>
      <c r="I109" s="59" t="str">
        <f t="shared" si="70"/>
        <v>T_03</v>
      </c>
      <c r="J109" s="59">
        <f t="shared" ref="J109" si="83">J104+1</f>
        <v>17</v>
      </c>
      <c r="K109" s="60">
        <f t="shared" si="77"/>
        <v>43849</v>
      </c>
      <c r="P109"/>
      <c r="Q109" s="122">
        <v>81</v>
      </c>
      <c r="R109" s="122" t="str">
        <f t="shared" ca="1" si="71"/>
        <v>Assens</v>
      </c>
      <c r="S109" s="122" t="str">
        <f t="shared" ca="1" si="72"/>
        <v>Christiansfelt</v>
      </c>
      <c r="T109" s="134"/>
      <c r="U109" s="123" t="str">
        <f t="shared" si="44"/>
        <v>-</v>
      </c>
      <c r="V109" s="146"/>
      <c r="W109" s="147"/>
      <c r="X109" s="148"/>
      <c r="Y109" s="121" t="str">
        <f t="shared" si="65"/>
        <v>-</v>
      </c>
      <c r="Z109" s="121" t="str">
        <f t="shared" si="66"/>
        <v>-</v>
      </c>
    </row>
    <row r="110" spans="3:26" ht="17.399999999999999" x14ac:dyDescent="0.35">
      <c r="C110" s="56" t="s">
        <v>157</v>
      </c>
      <c r="D110" s="57">
        <f t="shared" si="73"/>
        <v>0</v>
      </c>
      <c r="E110" s="56">
        <v>82</v>
      </c>
      <c r="F110" s="58">
        <f t="shared" si="74"/>
        <v>5</v>
      </c>
      <c r="G110" s="58">
        <f t="shared" si="75"/>
        <v>3</v>
      </c>
      <c r="H110" s="59" t="str">
        <f t="shared" si="69"/>
        <v>T_02</v>
      </c>
      <c r="I110" s="59" t="str">
        <f t="shared" si="70"/>
        <v>T_04</v>
      </c>
      <c r="J110" s="59">
        <f t="shared" ref="J110:J118" si="84">J109</f>
        <v>17</v>
      </c>
      <c r="K110" s="60">
        <f t="shared" si="77"/>
        <v>43849</v>
      </c>
      <c r="P110"/>
      <c r="Q110" s="122">
        <v>82</v>
      </c>
      <c r="R110" s="122" t="str">
        <f t="shared" ca="1" si="71"/>
        <v>Bogense</v>
      </c>
      <c r="S110" s="122" t="str">
        <f t="shared" ca="1" si="72"/>
        <v>Dragør</v>
      </c>
      <c r="T110" s="134"/>
      <c r="U110" s="123" t="str">
        <f t="shared" si="44"/>
        <v>-</v>
      </c>
      <c r="V110" s="146"/>
      <c r="W110" s="147"/>
      <c r="X110" s="148"/>
      <c r="Y110" s="121" t="str">
        <f t="shared" si="65"/>
        <v>-</v>
      </c>
      <c r="Z110" s="121" t="str">
        <f t="shared" si="66"/>
        <v>-</v>
      </c>
    </row>
    <row r="111" spans="3:26" ht="17.399999999999999" x14ac:dyDescent="0.35">
      <c r="C111" s="56" t="s">
        <v>158</v>
      </c>
      <c r="D111" s="57">
        <f t="shared" si="73"/>
        <v>0</v>
      </c>
      <c r="E111" s="56">
        <v>83</v>
      </c>
      <c r="F111" s="58">
        <f t="shared" si="74"/>
        <v>6</v>
      </c>
      <c r="G111" s="58">
        <f t="shared" si="75"/>
        <v>11</v>
      </c>
      <c r="H111" s="59" t="str">
        <f t="shared" si="69"/>
        <v>T_10</v>
      </c>
      <c r="I111" s="59" t="str">
        <f t="shared" si="70"/>
        <v>T_05</v>
      </c>
      <c r="J111" s="59">
        <f t="shared" si="84"/>
        <v>17</v>
      </c>
      <c r="K111" s="60">
        <f t="shared" si="77"/>
        <v>43849</v>
      </c>
      <c r="P111"/>
      <c r="Q111" s="122">
        <v>83</v>
      </c>
      <c r="R111" s="122" t="str">
        <f t="shared" ca="1" si="71"/>
        <v>Jullerup</v>
      </c>
      <c r="S111" s="122" t="str">
        <f t="shared" ca="1" si="72"/>
        <v>Ejby</v>
      </c>
      <c r="T111" s="134"/>
      <c r="U111" s="123" t="str">
        <f t="shared" si="44"/>
        <v>-</v>
      </c>
      <c r="V111" s="146"/>
      <c r="W111" s="147"/>
      <c r="X111" s="148"/>
      <c r="Y111" s="121" t="str">
        <f t="shared" si="65"/>
        <v>-</v>
      </c>
      <c r="Z111" s="121" t="str">
        <f t="shared" si="66"/>
        <v>-</v>
      </c>
    </row>
    <row r="112" spans="3:26" ht="17.399999999999999" x14ac:dyDescent="0.35">
      <c r="C112" s="56" t="s">
        <v>159</v>
      </c>
      <c r="D112" s="57">
        <f t="shared" si="73"/>
        <v>0</v>
      </c>
      <c r="E112" s="56">
        <v>84</v>
      </c>
      <c r="F112" s="58">
        <f t="shared" si="74"/>
        <v>7</v>
      </c>
      <c r="G112" s="58">
        <f t="shared" si="75"/>
        <v>10</v>
      </c>
      <c r="H112" s="59" t="str">
        <f t="shared" si="69"/>
        <v>T_09</v>
      </c>
      <c r="I112" s="59" t="str">
        <f t="shared" si="70"/>
        <v>T_06</v>
      </c>
      <c r="J112" s="59">
        <f t="shared" si="84"/>
        <v>17</v>
      </c>
      <c r="K112" s="60">
        <f t="shared" si="77"/>
        <v>43849</v>
      </c>
      <c r="P112"/>
      <c r="Q112" s="122">
        <v>84</v>
      </c>
      <c r="R112" s="122" t="str">
        <f t="shared" ca="1" si="71"/>
        <v>Indre By</v>
      </c>
      <c r="S112" s="122" t="str">
        <f t="shared" ca="1" si="72"/>
        <v>Fjerritslev</v>
      </c>
      <c r="T112" s="134"/>
      <c r="U112" s="123" t="str">
        <f t="shared" si="44"/>
        <v>-</v>
      </c>
      <c r="V112" s="146"/>
      <c r="W112" s="147"/>
      <c r="X112" s="148"/>
      <c r="Y112" s="121" t="str">
        <f t="shared" si="65"/>
        <v>-</v>
      </c>
      <c r="Z112" s="121" t="str">
        <f t="shared" si="66"/>
        <v>-</v>
      </c>
    </row>
    <row r="113" spans="3:26" ht="18" thickBot="1" x14ac:dyDescent="0.4">
      <c r="C113" s="56" t="s">
        <v>160</v>
      </c>
      <c r="D113" s="57">
        <f t="shared" si="73"/>
        <v>0</v>
      </c>
      <c r="E113" s="56">
        <v>85</v>
      </c>
      <c r="F113" s="58">
        <f t="shared" si="74"/>
        <v>8</v>
      </c>
      <c r="G113" s="58">
        <f t="shared" si="75"/>
        <v>9</v>
      </c>
      <c r="H113" s="59" t="str">
        <f t="shared" si="69"/>
        <v>T_08</v>
      </c>
      <c r="I113" s="59" t="str">
        <f t="shared" si="70"/>
        <v>T_07</v>
      </c>
      <c r="J113" s="59">
        <f t="shared" si="84"/>
        <v>17</v>
      </c>
      <c r="K113" s="60">
        <f t="shared" si="77"/>
        <v>43849</v>
      </c>
      <c r="P113"/>
      <c r="Q113" s="124">
        <v>85</v>
      </c>
      <c r="R113" s="124" t="str">
        <f t="shared" ca="1" si="71"/>
        <v>Holeby</v>
      </c>
      <c r="S113" s="124" t="str">
        <f t="shared" ca="1" si="72"/>
        <v>Glamsbjerg</v>
      </c>
      <c r="T113" s="135"/>
      <c r="U113" s="125" t="str">
        <f t="shared" si="44"/>
        <v>-</v>
      </c>
      <c r="V113" s="149"/>
      <c r="W113" s="150"/>
      <c r="X113" s="151"/>
      <c r="Y113" s="126" t="str">
        <f t="shared" si="65"/>
        <v>-</v>
      </c>
      <c r="Z113" s="126" t="str">
        <f t="shared" si="66"/>
        <v>-</v>
      </c>
    </row>
    <row r="114" spans="3:26" ht="17.399999999999999" x14ac:dyDescent="0.35">
      <c r="C114" s="56" t="s">
        <v>161</v>
      </c>
      <c r="D114" s="57">
        <f t="shared" si="73"/>
        <v>0</v>
      </c>
      <c r="E114" s="56">
        <v>86</v>
      </c>
      <c r="F114" s="58">
        <f t="shared" si="74"/>
        <v>2</v>
      </c>
      <c r="G114" s="58">
        <f t="shared" si="75"/>
        <v>3</v>
      </c>
      <c r="H114" s="59" t="str">
        <f t="shared" si="69"/>
        <v>T_02</v>
      </c>
      <c r="I114" s="59" t="str">
        <f t="shared" si="70"/>
        <v>T_01</v>
      </c>
      <c r="J114" s="59">
        <f t="shared" ref="J114" si="85">J109+1</f>
        <v>18</v>
      </c>
      <c r="K114" s="60">
        <f t="shared" si="77"/>
        <v>43850</v>
      </c>
      <c r="P114"/>
      <c r="Q114" s="122">
        <v>86</v>
      </c>
      <c r="R114" s="122" t="str">
        <f t="shared" ca="1" si="71"/>
        <v>Bogense</v>
      </c>
      <c r="S114" s="122" t="str">
        <f t="shared" ca="1" si="72"/>
        <v>Assens</v>
      </c>
      <c r="T114" s="134"/>
      <c r="U114" s="123" t="str">
        <f t="shared" si="44"/>
        <v>-</v>
      </c>
      <c r="V114" s="146"/>
      <c r="W114" s="147"/>
      <c r="X114" s="148"/>
      <c r="Y114" s="121" t="str">
        <f t="shared" si="65"/>
        <v>-</v>
      </c>
      <c r="Z114" s="121" t="str">
        <f t="shared" si="66"/>
        <v>-</v>
      </c>
    </row>
    <row r="115" spans="3:26" ht="17.399999999999999" x14ac:dyDescent="0.35">
      <c r="C115" s="56" t="s">
        <v>162</v>
      </c>
      <c r="D115" s="57">
        <f t="shared" si="73"/>
        <v>0</v>
      </c>
      <c r="E115" s="56">
        <v>87</v>
      </c>
      <c r="F115" s="58">
        <f t="shared" si="74"/>
        <v>4</v>
      </c>
      <c r="G115" s="58">
        <f t="shared" si="75"/>
        <v>11</v>
      </c>
      <c r="H115" s="59" t="str">
        <f t="shared" si="69"/>
        <v>T_10</v>
      </c>
      <c r="I115" s="59" t="str">
        <f t="shared" si="70"/>
        <v>T_03</v>
      </c>
      <c r="J115" s="59">
        <f t="shared" ref="J115" si="86">J114</f>
        <v>18</v>
      </c>
      <c r="K115" s="60">
        <f t="shared" si="77"/>
        <v>43850</v>
      </c>
      <c r="P115"/>
      <c r="Q115" s="122">
        <v>87</v>
      </c>
      <c r="R115" s="122" t="str">
        <f t="shared" ca="1" si="71"/>
        <v>Jullerup</v>
      </c>
      <c r="S115" s="122" t="str">
        <f t="shared" ca="1" si="72"/>
        <v>Christiansfelt</v>
      </c>
      <c r="T115" s="134"/>
      <c r="U115" s="123" t="str">
        <f t="shared" si="44"/>
        <v>-</v>
      </c>
      <c r="V115" s="146"/>
      <c r="W115" s="147"/>
      <c r="X115" s="148"/>
      <c r="Y115" s="121" t="str">
        <f t="shared" si="65"/>
        <v>-</v>
      </c>
      <c r="Z115" s="121" t="str">
        <f t="shared" si="66"/>
        <v>-</v>
      </c>
    </row>
    <row r="116" spans="3:26" ht="17.399999999999999" x14ac:dyDescent="0.35">
      <c r="C116" s="56" t="s">
        <v>163</v>
      </c>
      <c r="D116" s="57">
        <f t="shared" si="73"/>
        <v>0</v>
      </c>
      <c r="E116" s="56">
        <v>88</v>
      </c>
      <c r="F116" s="58">
        <f t="shared" si="74"/>
        <v>5</v>
      </c>
      <c r="G116" s="58">
        <f t="shared" si="75"/>
        <v>10</v>
      </c>
      <c r="H116" s="59" t="str">
        <f t="shared" si="69"/>
        <v>T_09</v>
      </c>
      <c r="I116" s="59" t="str">
        <f t="shared" si="70"/>
        <v>T_04</v>
      </c>
      <c r="J116" s="59">
        <f t="shared" si="84"/>
        <v>18</v>
      </c>
      <c r="K116" s="60">
        <f t="shared" si="77"/>
        <v>43850</v>
      </c>
      <c r="P116"/>
      <c r="Q116" s="122">
        <v>88</v>
      </c>
      <c r="R116" s="122" t="str">
        <f t="shared" ca="1" si="71"/>
        <v>Indre By</v>
      </c>
      <c r="S116" s="122" t="str">
        <f t="shared" ca="1" si="72"/>
        <v>Dragør</v>
      </c>
      <c r="T116" s="134"/>
      <c r="U116" s="123" t="str">
        <f t="shared" si="44"/>
        <v>-</v>
      </c>
      <c r="V116" s="146"/>
      <c r="W116" s="147"/>
      <c r="X116" s="148"/>
      <c r="Y116" s="121" t="str">
        <f t="shared" si="65"/>
        <v>-</v>
      </c>
      <c r="Z116" s="121" t="str">
        <f t="shared" si="66"/>
        <v>-</v>
      </c>
    </row>
    <row r="117" spans="3:26" ht="17.399999999999999" x14ac:dyDescent="0.35">
      <c r="C117" s="56" t="s">
        <v>164</v>
      </c>
      <c r="D117" s="57">
        <f t="shared" si="73"/>
        <v>0</v>
      </c>
      <c r="E117" s="56">
        <v>89</v>
      </c>
      <c r="F117" s="58">
        <f t="shared" si="74"/>
        <v>6</v>
      </c>
      <c r="G117" s="58">
        <f t="shared" si="75"/>
        <v>9</v>
      </c>
      <c r="H117" s="59" t="str">
        <f t="shared" si="69"/>
        <v>T_08</v>
      </c>
      <c r="I117" s="59" t="str">
        <f t="shared" si="70"/>
        <v>T_05</v>
      </c>
      <c r="J117" s="59">
        <f t="shared" si="84"/>
        <v>18</v>
      </c>
      <c r="K117" s="60">
        <f t="shared" si="77"/>
        <v>43850</v>
      </c>
      <c r="P117"/>
      <c r="Q117" s="122">
        <v>89</v>
      </c>
      <c r="R117" s="122" t="str">
        <f t="shared" ca="1" si="71"/>
        <v>Holeby</v>
      </c>
      <c r="S117" s="122" t="str">
        <f t="shared" ca="1" si="72"/>
        <v>Ejby</v>
      </c>
      <c r="T117" s="134"/>
      <c r="U117" s="123" t="str">
        <f t="shared" si="44"/>
        <v>-</v>
      </c>
      <c r="V117" s="146"/>
      <c r="W117" s="147"/>
      <c r="X117" s="148"/>
      <c r="Y117" s="121" t="str">
        <f t="shared" si="65"/>
        <v>-</v>
      </c>
      <c r="Z117" s="121" t="str">
        <f t="shared" si="66"/>
        <v>-</v>
      </c>
    </row>
    <row r="118" spans="3:26" ht="18" thickBot="1" x14ac:dyDescent="0.4">
      <c r="C118" s="56" t="s">
        <v>165</v>
      </c>
      <c r="D118" s="57">
        <f t="shared" si="73"/>
        <v>0</v>
      </c>
      <c r="E118" s="56">
        <v>90</v>
      </c>
      <c r="F118" s="58">
        <f t="shared" si="74"/>
        <v>7</v>
      </c>
      <c r="G118" s="58">
        <f t="shared" si="75"/>
        <v>8</v>
      </c>
      <c r="H118" s="59" t="str">
        <f t="shared" si="69"/>
        <v>T_07</v>
      </c>
      <c r="I118" s="59" t="str">
        <f t="shared" si="70"/>
        <v>T_06</v>
      </c>
      <c r="J118" s="59">
        <f t="shared" si="84"/>
        <v>18</v>
      </c>
      <c r="K118" s="60">
        <f t="shared" si="77"/>
        <v>43850</v>
      </c>
      <c r="P118"/>
      <c r="Q118" s="124">
        <v>90</v>
      </c>
      <c r="R118" s="124" t="str">
        <f t="shared" ca="1" si="71"/>
        <v>Glamsbjerg</v>
      </c>
      <c r="S118" s="124" t="str">
        <f t="shared" ca="1" si="72"/>
        <v>Fjerritslev</v>
      </c>
      <c r="T118" s="136"/>
      <c r="U118" s="137" t="str">
        <f t="shared" si="44"/>
        <v>-</v>
      </c>
      <c r="V118" s="155"/>
      <c r="W118" s="156"/>
      <c r="X118" s="157"/>
      <c r="Y118" s="126" t="str">
        <f t="shared" si="65"/>
        <v>-</v>
      </c>
      <c r="Z118" s="126" t="str">
        <f t="shared" si="66"/>
        <v>-</v>
      </c>
    </row>
    <row r="119" spans="3:26" ht="13.2" thickBot="1" x14ac:dyDescent="0.25">
      <c r="H119" s="19" t="s">
        <v>34</v>
      </c>
      <c r="I119" s="19" t="s">
        <v>35</v>
      </c>
      <c r="J119" s="19"/>
      <c r="K119" s="38"/>
      <c r="P119"/>
      <c r="R119" s="92"/>
      <c r="S119" s="92"/>
      <c r="T119" s="92"/>
      <c r="U119" s="5"/>
      <c r="V119" s="5"/>
      <c r="W119" s="5"/>
      <c r="X119" s="5"/>
    </row>
    <row r="120" spans="3:26" ht="18" thickBot="1" x14ac:dyDescent="0.4">
      <c r="H120" s="20" t="str">
        <f>IF(ISNUMBER(W120),IF(W120&gt;X120,R120,S120),"")</f>
        <v/>
      </c>
      <c r="I120" s="20" t="str">
        <f>IF(ISNUMBER(W120),IF(H120=R120,S120,R120),"")</f>
        <v/>
      </c>
      <c r="J120" s="43">
        <f>J118+1</f>
        <v>19</v>
      </c>
      <c r="K120" s="17">
        <f>$K$29+J120</f>
        <v>43851</v>
      </c>
      <c r="P120"/>
      <c r="Q120" s="89" t="s">
        <v>64</v>
      </c>
      <c r="R120" s="90"/>
      <c r="S120" s="90"/>
      <c r="T120" s="174"/>
      <c r="U120" s="175"/>
      <c r="V120" s="176"/>
      <c r="W120" s="177"/>
      <c r="X120" s="178"/>
      <c r="Y120" s="21" t="str">
        <f t="shared" ref="Y120" si="87">IF(ISNUMBER(W120)*ISNUMBER(X120),IF(W120&gt;X120,ptv, IF(W120=X120,ptu,ptt)),"-")</f>
        <v>-</v>
      </c>
      <c r="Z120" s="21" t="str">
        <f t="shared" ref="Z120" si="88">IF(ISNUMBER(W120)*ISNUMBER(X120),IF(Y120=ptv,ptt,IF(Y120=ptu,ptu,ptv)),"-")</f>
        <v>-</v>
      </c>
    </row>
    <row r="121" spans="3:26" ht="13.2" thickBot="1" x14ac:dyDescent="0.25">
      <c r="H121" s="19" t="s">
        <v>36</v>
      </c>
      <c r="I121" s="19" t="s">
        <v>37</v>
      </c>
      <c r="J121" s="19"/>
      <c r="K121" s="38"/>
      <c r="P121"/>
      <c r="R121" s="92"/>
      <c r="S121" s="92"/>
      <c r="T121" s="92"/>
      <c r="U121" s="5"/>
      <c r="V121" s="5"/>
      <c r="W121" s="5"/>
      <c r="X121" s="94"/>
    </row>
    <row r="122" spans="3:26" ht="18" thickBot="1" x14ac:dyDescent="0.4">
      <c r="H122" s="20" t="str">
        <f>IF(ISNUMBER(W122),IF(W122&gt;X122,R122,S122),"")</f>
        <v/>
      </c>
      <c r="I122" s="20" t="str">
        <f>IF(ISNUMBER(W122),IF(H122=R122,S122,R122),"")</f>
        <v/>
      </c>
      <c r="J122" s="43">
        <f>J120</f>
        <v>19</v>
      </c>
      <c r="K122" s="17">
        <f>$K$29+J122</f>
        <v>43851</v>
      </c>
      <c r="P122"/>
      <c r="Q122" s="88" t="s">
        <v>175</v>
      </c>
      <c r="R122" s="90"/>
      <c r="S122" s="90"/>
      <c r="T122" s="174"/>
      <c r="U122" s="175"/>
      <c r="V122" s="176"/>
      <c r="W122" s="177"/>
      <c r="X122" s="178"/>
      <c r="Y122" s="21" t="str">
        <f t="shared" ref="Y122" si="89">IF(ISNUMBER(W122)*ISNUMBER(X122),IF(W122&gt;X122,ptv, IF(W122=X122,ptu,ptt)),"-")</f>
        <v>-</v>
      </c>
      <c r="Z122" s="21" t="str">
        <f t="shared" ref="Z122" si="90">IF(ISNUMBER(W122)*ISNUMBER(X122),IF(Y122=ptv,ptt,IF(Y122=ptu,ptu,ptv)),"-")</f>
        <v>-</v>
      </c>
    </row>
  </sheetData>
  <sheetProtection sheet="1" objects="1" scenarios="1"/>
  <conditionalFormatting sqref="D30:D31">
    <cfRule type="expression" dxfId="5" priority="16">
      <formula>D30=1</formula>
    </cfRule>
  </conditionalFormatting>
  <conditionalFormatting sqref="B17:K26">
    <cfRule type="duplicateValues" dxfId="4" priority="14"/>
    <cfRule type="expression" dxfId="3" priority="15">
      <formula>AND(MOD(B17,2)=0,ISNUMBER(B17))</formula>
    </cfRule>
  </conditionalFormatting>
  <conditionalFormatting sqref="D32:D118">
    <cfRule type="expression" dxfId="2" priority="3">
      <formula>D32=1</formula>
    </cfRule>
  </conditionalFormatting>
  <conditionalFormatting sqref="L3:L12">
    <cfRule type="duplicateValues" dxfId="1" priority="2"/>
  </conditionalFormatting>
  <conditionalFormatting sqref="M3:M12">
    <cfRule type="duplicateValues" dxfId="0" priority="1"/>
  </conditionalFormatting>
  <dataValidations disablePrompts="1" count="1">
    <dataValidation type="list" allowBlank="1" showInputMessage="1" showErrorMessage="1" sqref="R120:S120 R122:S122" xr:uid="{00000000-0002-0000-1300-000000000000}">
      <formula1>teams</formula1>
    </dataValidation>
  </dataValidations>
  <printOptions horizontalCentered="1"/>
  <pageMargins left="0.78740157480314965" right="0.59055118110236227" top="0.39370078740157483" bottom="0.39370078740157483" header="0.19685039370078741" footer="0.19685039370078741"/>
  <pageSetup paperSize="9" scale="73" fitToHeight="2" orientation="portrait" verticalDpi="300" r:id="rId1"/>
  <headerFooter>
    <oddFooter>&amp;L&amp;D&amp;R&amp;P/&amp;N</oddFooter>
  </headerFooter>
  <rowBreaks count="1" manualBreakCount="1">
    <brk id="73" min="16" max="2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03">
    <tabColor theme="0" tint="-0.499984740745262"/>
    <outlinePr showOutlineSymbols="0"/>
    <pageSetUpPr fitToPage="1"/>
  </sheetPr>
  <dimension ref="A2:C13"/>
  <sheetViews>
    <sheetView showGridLines="0" showRowColHeaders="0" showZeros="0" showOutlineSymbols="0" zoomScaleNormal="100" workbookViewId="0">
      <pane ySplit="2" topLeftCell="A3" activePane="bottomLeft" state="frozen"/>
      <selection activeCell="A3" sqref="A3"/>
      <selection pane="bottomLeft" activeCell="B2" sqref="B2"/>
    </sheetView>
  </sheetViews>
  <sheetFormatPr defaultRowHeight="12.6" x14ac:dyDescent="0.2"/>
  <cols>
    <col min="1" max="1" width="3.90625" customWidth="1"/>
    <col min="2" max="3" width="50.453125" customWidth="1"/>
    <col min="5" max="5" width="64.08984375" customWidth="1"/>
    <col min="246" max="246" width="4.453125" customWidth="1"/>
    <col min="247" max="248" width="5.08984375" customWidth="1"/>
    <col min="249" max="249" width="17.6328125" customWidth="1"/>
    <col min="250" max="250" width="18" customWidth="1"/>
    <col min="251" max="251" width="40.26953125" customWidth="1"/>
    <col min="252" max="252" width="7.453125" customWidth="1"/>
    <col min="253" max="253" width="1.6328125" customWidth="1"/>
    <col min="254" max="254" width="10" customWidth="1"/>
    <col min="502" max="502" width="4.453125" customWidth="1"/>
    <col min="503" max="504" width="5.08984375" customWidth="1"/>
    <col min="505" max="505" width="17.6328125" customWidth="1"/>
    <col min="506" max="506" width="18" customWidth="1"/>
    <col min="507" max="507" width="40.26953125" customWidth="1"/>
    <col min="508" max="508" width="7.453125" customWidth="1"/>
    <col min="509" max="509" width="1.6328125" customWidth="1"/>
    <col min="510" max="510" width="10" customWidth="1"/>
    <col min="758" max="758" width="4.453125" customWidth="1"/>
    <col min="759" max="760" width="5.08984375" customWidth="1"/>
    <col min="761" max="761" width="17.6328125" customWidth="1"/>
    <col min="762" max="762" width="18" customWidth="1"/>
    <col min="763" max="763" width="40.26953125" customWidth="1"/>
    <col min="764" max="764" width="7.453125" customWidth="1"/>
    <col min="765" max="765" width="1.6328125" customWidth="1"/>
    <col min="766" max="766" width="10" customWidth="1"/>
    <col min="1014" max="1014" width="4.453125" customWidth="1"/>
    <col min="1015" max="1016" width="5.08984375" customWidth="1"/>
    <col min="1017" max="1017" width="17.6328125" customWidth="1"/>
    <col min="1018" max="1018" width="18" customWidth="1"/>
    <col min="1019" max="1019" width="40.26953125" customWidth="1"/>
    <col min="1020" max="1020" width="7.453125" customWidth="1"/>
    <col min="1021" max="1021" width="1.6328125" customWidth="1"/>
    <col min="1022" max="1022" width="10" customWidth="1"/>
    <col min="1270" max="1270" width="4.453125" customWidth="1"/>
    <col min="1271" max="1272" width="5.08984375" customWidth="1"/>
    <col min="1273" max="1273" width="17.6328125" customWidth="1"/>
    <col min="1274" max="1274" width="18" customWidth="1"/>
    <col min="1275" max="1275" width="40.26953125" customWidth="1"/>
    <col min="1276" max="1276" width="7.453125" customWidth="1"/>
    <col min="1277" max="1277" width="1.6328125" customWidth="1"/>
    <col min="1278" max="1278" width="10" customWidth="1"/>
    <col min="1526" max="1526" width="4.453125" customWidth="1"/>
    <col min="1527" max="1528" width="5.08984375" customWidth="1"/>
    <col min="1529" max="1529" width="17.6328125" customWidth="1"/>
    <col min="1530" max="1530" width="18" customWidth="1"/>
    <col min="1531" max="1531" width="40.26953125" customWidth="1"/>
    <col min="1532" max="1532" width="7.453125" customWidth="1"/>
    <col min="1533" max="1533" width="1.6328125" customWidth="1"/>
    <col min="1534" max="1534" width="10" customWidth="1"/>
    <col min="1782" max="1782" width="4.453125" customWidth="1"/>
    <col min="1783" max="1784" width="5.08984375" customWidth="1"/>
    <col min="1785" max="1785" width="17.6328125" customWidth="1"/>
    <col min="1786" max="1786" width="18" customWidth="1"/>
    <col min="1787" max="1787" width="40.26953125" customWidth="1"/>
    <col min="1788" max="1788" width="7.453125" customWidth="1"/>
    <col min="1789" max="1789" width="1.6328125" customWidth="1"/>
    <col min="1790" max="1790" width="10" customWidth="1"/>
    <col min="2038" max="2038" width="4.453125" customWidth="1"/>
    <col min="2039" max="2040" width="5.08984375" customWidth="1"/>
    <col min="2041" max="2041" width="17.6328125" customWidth="1"/>
    <col min="2042" max="2042" width="18" customWidth="1"/>
    <col min="2043" max="2043" width="40.26953125" customWidth="1"/>
    <col min="2044" max="2044" width="7.453125" customWidth="1"/>
    <col min="2045" max="2045" width="1.6328125" customWidth="1"/>
    <col min="2046" max="2046" width="10" customWidth="1"/>
    <col min="2294" max="2294" width="4.453125" customWidth="1"/>
    <col min="2295" max="2296" width="5.08984375" customWidth="1"/>
    <col min="2297" max="2297" width="17.6328125" customWidth="1"/>
    <col min="2298" max="2298" width="18" customWidth="1"/>
    <col min="2299" max="2299" width="40.26953125" customWidth="1"/>
    <col min="2300" max="2300" width="7.453125" customWidth="1"/>
    <col min="2301" max="2301" width="1.6328125" customWidth="1"/>
    <col min="2302" max="2302" width="10" customWidth="1"/>
    <col min="2550" max="2550" width="4.453125" customWidth="1"/>
    <col min="2551" max="2552" width="5.08984375" customWidth="1"/>
    <col min="2553" max="2553" width="17.6328125" customWidth="1"/>
    <col min="2554" max="2554" width="18" customWidth="1"/>
    <col min="2555" max="2555" width="40.26953125" customWidth="1"/>
    <col min="2556" max="2556" width="7.453125" customWidth="1"/>
    <col min="2557" max="2557" width="1.6328125" customWidth="1"/>
    <col min="2558" max="2558" width="10" customWidth="1"/>
    <col min="2806" max="2806" width="4.453125" customWidth="1"/>
    <col min="2807" max="2808" width="5.08984375" customWidth="1"/>
    <col min="2809" max="2809" width="17.6328125" customWidth="1"/>
    <col min="2810" max="2810" width="18" customWidth="1"/>
    <col min="2811" max="2811" width="40.26953125" customWidth="1"/>
    <col min="2812" max="2812" width="7.453125" customWidth="1"/>
    <col min="2813" max="2813" width="1.6328125" customWidth="1"/>
    <col min="2814" max="2814" width="10" customWidth="1"/>
    <col min="3062" max="3062" width="4.453125" customWidth="1"/>
    <col min="3063" max="3064" width="5.08984375" customWidth="1"/>
    <col min="3065" max="3065" width="17.6328125" customWidth="1"/>
    <col min="3066" max="3066" width="18" customWidth="1"/>
    <col min="3067" max="3067" width="40.26953125" customWidth="1"/>
    <col min="3068" max="3068" width="7.453125" customWidth="1"/>
    <col min="3069" max="3069" width="1.6328125" customWidth="1"/>
    <col min="3070" max="3070" width="10" customWidth="1"/>
    <col min="3318" max="3318" width="4.453125" customWidth="1"/>
    <col min="3319" max="3320" width="5.08984375" customWidth="1"/>
    <col min="3321" max="3321" width="17.6328125" customWidth="1"/>
    <col min="3322" max="3322" width="18" customWidth="1"/>
    <col min="3323" max="3323" width="40.26953125" customWidth="1"/>
    <col min="3324" max="3324" width="7.453125" customWidth="1"/>
    <col min="3325" max="3325" width="1.6328125" customWidth="1"/>
    <col min="3326" max="3326" width="10" customWidth="1"/>
    <col min="3574" max="3574" width="4.453125" customWidth="1"/>
    <col min="3575" max="3576" width="5.08984375" customWidth="1"/>
    <col min="3577" max="3577" width="17.6328125" customWidth="1"/>
    <col min="3578" max="3578" width="18" customWidth="1"/>
    <col min="3579" max="3579" width="40.26953125" customWidth="1"/>
    <col min="3580" max="3580" width="7.453125" customWidth="1"/>
    <col min="3581" max="3581" width="1.6328125" customWidth="1"/>
    <col min="3582" max="3582" width="10" customWidth="1"/>
    <col min="3830" max="3830" width="4.453125" customWidth="1"/>
    <col min="3831" max="3832" width="5.08984375" customWidth="1"/>
    <col min="3833" max="3833" width="17.6328125" customWidth="1"/>
    <col min="3834" max="3834" width="18" customWidth="1"/>
    <col min="3835" max="3835" width="40.26953125" customWidth="1"/>
    <col min="3836" max="3836" width="7.453125" customWidth="1"/>
    <col min="3837" max="3837" width="1.6328125" customWidth="1"/>
    <col min="3838" max="3838" width="10" customWidth="1"/>
    <col min="4086" max="4086" width="4.453125" customWidth="1"/>
    <col min="4087" max="4088" width="5.08984375" customWidth="1"/>
    <col min="4089" max="4089" width="17.6328125" customWidth="1"/>
    <col min="4090" max="4090" width="18" customWidth="1"/>
    <col min="4091" max="4091" width="40.26953125" customWidth="1"/>
    <col min="4092" max="4092" width="7.453125" customWidth="1"/>
    <col min="4093" max="4093" width="1.6328125" customWidth="1"/>
    <col min="4094" max="4094" width="10" customWidth="1"/>
    <col min="4342" max="4342" width="4.453125" customWidth="1"/>
    <col min="4343" max="4344" width="5.08984375" customWidth="1"/>
    <col min="4345" max="4345" width="17.6328125" customWidth="1"/>
    <col min="4346" max="4346" width="18" customWidth="1"/>
    <col min="4347" max="4347" width="40.26953125" customWidth="1"/>
    <col min="4348" max="4348" width="7.453125" customWidth="1"/>
    <col min="4349" max="4349" width="1.6328125" customWidth="1"/>
    <col min="4350" max="4350" width="10" customWidth="1"/>
    <col min="4598" max="4598" width="4.453125" customWidth="1"/>
    <col min="4599" max="4600" width="5.08984375" customWidth="1"/>
    <col min="4601" max="4601" width="17.6328125" customWidth="1"/>
    <col min="4602" max="4602" width="18" customWidth="1"/>
    <col min="4603" max="4603" width="40.26953125" customWidth="1"/>
    <col min="4604" max="4604" width="7.453125" customWidth="1"/>
    <col min="4605" max="4605" width="1.6328125" customWidth="1"/>
    <col min="4606" max="4606" width="10" customWidth="1"/>
    <col min="4854" max="4854" width="4.453125" customWidth="1"/>
    <col min="4855" max="4856" width="5.08984375" customWidth="1"/>
    <col min="4857" max="4857" width="17.6328125" customWidth="1"/>
    <col min="4858" max="4858" width="18" customWidth="1"/>
    <col min="4859" max="4859" width="40.26953125" customWidth="1"/>
    <col min="4860" max="4860" width="7.453125" customWidth="1"/>
    <col min="4861" max="4861" width="1.6328125" customWidth="1"/>
    <col min="4862" max="4862" width="10" customWidth="1"/>
    <col min="5110" max="5110" width="4.453125" customWidth="1"/>
    <col min="5111" max="5112" width="5.08984375" customWidth="1"/>
    <col min="5113" max="5113" width="17.6328125" customWidth="1"/>
    <col min="5114" max="5114" width="18" customWidth="1"/>
    <col min="5115" max="5115" width="40.26953125" customWidth="1"/>
    <col min="5116" max="5116" width="7.453125" customWidth="1"/>
    <col min="5117" max="5117" width="1.6328125" customWidth="1"/>
    <col min="5118" max="5118" width="10" customWidth="1"/>
    <col min="5366" max="5366" width="4.453125" customWidth="1"/>
    <col min="5367" max="5368" width="5.08984375" customWidth="1"/>
    <col min="5369" max="5369" width="17.6328125" customWidth="1"/>
    <col min="5370" max="5370" width="18" customWidth="1"/>
    <col min="5371" max="5371" width="40.26953125" customWidth="1"/>
    <col min="5372" max="5372" width="7.453125" customWidth="1"/>
    <col min="5373" max="5373" width="1.6328125" customWidth="1"/>
    <col min="5374" max="5374" width="10" customWidth="1"/>
    <col min="5622" max="5622" width="4.453125" customWidth="1"/>
    <col min="5623" max="5624" width="5.08984375" customWidth="1"/>
    <col min="5625" max="5625" width="17.6328125" customWidth="1"/>
    <col min="5626" max="5626" width="18" customWidth="1"/>
    <col min="5627" max="5627" width="40.26953125" customWidth="1"/>
    <col min="5628" max="5628" width="7.453125" customWidth="1"/>
    <col min="5629" max="5629" width="1.6328125" customWidth="1"/>
    <col min="5630" max="5630" width="10" customWidth="1"/>
    <col min="5878" max="5878" width="4.453125" customWidth="1"/>
    <col min="5879" max="5880" width="5.08984375" customWidth="1"/>
    <col min="5881" max="5881" width="17.6328125" customWidth="1"/>
    <col min="5882" max="5882" width="18" customWidth="1"/>
    <col min="5883" max="5883" width="40.26953125" customWidth="1"/>
    <col min="5884" max="5884" width="7.453125" customWidth="1"/>
    <col min="5885" max="5885" width="1.6328125" customWidth="1"/>
    <col min="5886" max="5886" width="10" customWidth="1"/>
    <col min="6134" max="6134" width="4.453125" customWidth="1"/>
    <col min="6135" max="6136" width="5.08984375" customWidth="1"/>
    <col min="6137" max="6137" width="17.6328125" customWidth="1"/>
    <col min="6138" max="6138" width="18" customWidth="1"/>
    <col min="6139" max="6139" width="40.26953125" customWidth="1"/>
    <col min="6140" max="6140" width="7.453125" customWidth="1"/>
    <col min="6141" max="6141" width="1.6328125" customWidth="1"/>
    <col min="6142" max="6142" width="10" customWidth="1"/>
    <col min="6390" max="6390" width="4.453125" customWidth="1"/>
    <col min="6391" max="6392" width="5.08984375" customWidth="1"/>
    <col min="6393" max="6393" width="17.6328125" customWidth="1"/>
    <col min="6394" max="6394" width="18" customWidth="1"/>
    <col min="6395" max="6395" width="40.26953125" customWidth="1"/>
    <col min="6396" max="6396" width="7.453125" customWidth="1"/>
    <col min="6397" max="6397" width="1.6328125" customWidth="1"/>
    <col min="6398" max="6398" width="10" customWidth="1"/>
    <col min="6646" max="6646" width="4.453125" customWidth="1"/>
    <col min="6647" max="6648" width="5.08984375" customWidth="1"/>
    <col min="6649" max="6649" width="17.6328125" customWidth="1"/>
    <col min="6650" max="6650" width="18" customWidth="1"/>
    <col min="6651" max="6651" width="40.26953125" customWidth="1"/>
    <col min="6652" max="6652" width="7.453125" customWidth="1"/>
    <col min="6653" max="6653" width="1.6328125" customWidth="1"/>
    <col min="6654" max="6654" width="10" customWidth="1"/>
    <col min="6902" max="6902" width="4.453125" customWidth="1"/>
    <col min="6903" max="6904" width="5.08984375" customWidth="1"/>
    <col min="6905" max="6905" width="17.6328125" customWidth="1"/>
    <col min="6906" max="6906" width="18" customWidth="1"/>
    <col min="6907" max="6907" width="40.26953125" customWidth="1"/>
    <col min="6908" max="6908" width="7.453125" customWidth="1"/>
    <col min="6909" max="6909" width="1.6328125" customWidth="1"/>
    <col min="6910" max="6910" width="10" customWidth="1"/>
    <col min="7158" max="7158" width="4.453125" customWidth="1"/>
    <col min="7159" max="7160" width="5.08984375" customWidth="1"/>
    <col min="7161" max="7161" width="17.6328125" customWidth="1"/>
    <col min="7162" max="7162" width="18" customWidth="1"/>
    <col min="7163" max="7163" width="40.26953125" customWidth="1"/>
    <col min="7164" max="7164" width="7.453125" customWidth="1"/>
    <col min="7165" max="7165" width="1.6328125" customWidth="1"/>
    <col min="7166" max="7166" width="10" customWidth="1"/>
    <col min="7414" max="7414" width="4.453125" customWidth="1"/>
    <col min="7415" max="7416" width="5.08984375" customWidth="1"/>
    <col min="7417" max="7417" width="17.6328125" customWidth="1"/>
    <col min="7418" max="7418" width="18" customWidth="1"/>
    <col min="7419" max="7419" width="40.26953125" customWidth="1"/>
    <col min="7420" max="7420" width="7.453125" customWidth="1"/>
    <col min="7421" max="7421" width="1.6328125" customWidth="1"/>
    <col min="7422" max="7422" width="10" customWidth="1"/>
    <col min="7670" max="7670" width="4.453125" customWidth="1"/>
    <col min="7671" max="7672" width="5.08984375" customWidth="1"/>
    <col min="7673" max="7673" width="17.6328125" customWidth="1"/>
    <col min="7674" max="7674" width="18" customWidth="1"/>
    <col min="7675" max="7675" width="40.26953125" customWidth="1"/>
    <col min="7676" max="7676" width="7.453125" customWidth="1"/>
    <col min="7677" max="7677" width="1.6328125" customWidth="1"/>
    <col min="7678" max="7678" width="10" customWidth="1"/>
    <col min="7926" max="7926" width="4.453125" customWidth="1"/>
    <col min="7927" max="7928" width="5.08984375" customWidth="1"/>
    <col min="7929" max="7929" width="17.6328125" customWidth="1"/>
    <col min="7930" max="7930" width="18" customWidth="1"/>
    <col min="7931" max="7931" width="40.26953125" customWidth="1"/>
    <col min="7932" max="7932" width="7.453125" customWidth="1"/>
    <col min="7933" max="7933" width="1.6328125" customWidth="1"/>
    <col min="7934" max="7934" width="10" customWidth="1"/>
    <col min="8182" max="8182" width="4.453125" customWidth="1"/>
    <col min="8183" max="8184" width="5.08984375" customWidth="1"/>
    <col min="8185" max="8185" width="17.6328125" customWidth="1"/>
    <col min="8186" max="8186" width="18" customWidth="1"/>
    <col min="8187" max="8187" width="40.26953125" customWidth="1"/>
    <col min="8188" max="8188" width="7.453125" customWidth="1"/>
    <col min="8189" max="8189" width="1.6328125" customWidth="1"/>
    <col min="8190" max="8190" width="10" customWidth="1"/>
    <col min="8438" max="8438" width="4.453125" customWidth="1"/>
    <col min="8439" max="8440" width="5.08984375" customWidth="1"/>
    <col min="8441" max="8441" width="17.6328125" customWidth="1"/>
    <col min="8442" max="8442" width="18" customWidth="1"/>
    <col min="8443" max="8443" width="40.26953125" customWidth="1"/>
    <col min="8444" max="8444" width="7.453125" customWidth="1"/>
    <col min="8445" max="8445" width="1.6328125" customWidth="1"/>
    <col min="8446" max="8446" width="10" customWidth="1"/>
    <col min="8694" max="8694" width="4.453125" customWidth="1"/>
    <col min="8695" max="8696" width="5.08984375" customWidth="1"/>
    <col min="8697" max="8697" width="17.6328125" customWidth="1"/>
    <col min="8698" max="8698" width="18" customWidth="1"/>
    <col min="8699" max="8699" width="40.26953125" customWidth="1"/>
    <col min="8700" max="8700" width="7.453125" customWidth="1"/>
    <col min="8701" max="8701" width="1.6328125" customWidth="1"/>
    <col min="8702" max="8702" width="10" customWidth="1"/>
    <col min="8950" max="8950" width="4.453125" customWidth="1"/>
    <col min="8951" max="8952" width="5.08984375" customWidth="1"/>
    <col min="8953" max="8953" width="17.6328125" customWidth="1"/>
    <col min="8954" max="8954" width="18" customWidth="1"/>
    <col min="8955" max="8955" width="40.26953125" customWidth="1"/>
    <col min="8956" max="8956" width="7.453125" customWidth="1"/>
    <col min="8957" max="8957" width="1.6328125" customWidth="1"/>
    <col min="8958" max="8958" width="10" customWidth="1"/>
    <col min="9206" max="9206" width="4.453125" customWidth="1"/>
    <col min="9207" max="9208" width="5.08984375" customWidth="1"/>
    <col min="9209" max="9209" width="17.6328125" customWidth="1"/>
    <col min="9210" max="9210" width="18" customWidth="1"/>
    <col min="9211" max="9211" width="40.26953125" customWidth="1"/>
    <col min="9212" max="9212" width="7.453125" customWidth="1"/>
    <col min="9213" max="9213" width="1.6328125" customWidth="1"/>
    <col min="9214" max="9214" width="10" customWidth="1"/>
    <col min="9462" max="9462" width="4.453125" customWidth="1"/>
    <col min="9463" max="9464" width="5.08984375" customWidth="1"/>
    <col min="9465" max="9465" width="17.6328125" customWidth="1"/>
    <col min="9466" max="9466" width="18" customWidth="1"/>
    <col min="9467" max="9467" width="40.26953125" customWidth="1"/>
    <col min="9468" max="9468" width="7.453125" customWidth="1"/>
    <col min="9469" max="9469" width="1.6328125" customWidth="1"/>
    <col min="9470" max="9470" width="10" customWidth="1"/>
    <col min="9718" max="9718" width="4.453125" customWidth="1"/>
    <col min="9719" max="9720" width="5.08984375" customWidth="1"/>
    <col min="9721" max="9721" width="17.6328125" customWidth="1"/>
    <col min="9722" max="9722" width="18" customWidth="1"/>
    <col min="9723" max="9723" width="40.26953125" customWidth="1"/>
    <col min="9724" max="9724" width="7.453125" customWidth="1"/>
    <col min="9725" max="9725" width="1.6328125" customWidth="1"/>
    <col min="9726" max="9726" width="10" customWidth="1"/>
    <col min="9974" max="9974" width="4.453125" customWidth="1"/>
    <col min="9975" max="9976" width="5.08984375" customWidth="1"/>
    <col min="9977" max="9977" width="17.6328125" customWidth="1"/>
    <col min="9978" max="9978" width="18" customWidth="1"/>
    <col min="9979" max="9979" width="40.26953125" customWidth="1"/>
    <col min="9980" max="9980" width="7.453125" customWidth="1"/>
    <col min="9981" max="9981" width="1.6328125" customWidth="1"/>
    <col min="9982" max="9982" width="10" customWidth="1"/>
    <col min="10230" max="10230" width="4.453125" customWidth="1"/>
    <col min="10231" max="10232" width="5.08984375" customWidth="1"/>
    <col min="10233" max="10233" width="17.6328125" customWidth="1"/>
    <col min="10234" max="10234" width="18" customWidth="1"/>
    <col min="10235" max="10235" width="40.26953125" customWidth="1"/>
    <col min="10236" max="10236" width="7.453125" customWidth="1"/>
    <col min="10237" max="10237" width="1.6328125" customWidth="1"/>
    <col min="10238" max="10238" width="10" customWidth="1"/>
    <col min="10486" max="10486" width="4.453125" customWidth="1"/>
    <col min="10487" max="10488" width="5.08984375" customWidth="1"/>
    <col min="10489" max="10489" width="17.6328125" customWidth="1"/>
    <col min="10490" max="10490" width="18" customWidth="1"/>
    <col min="10491" max="10491" width="40.26953125" customWidth="1"/>
    <col min="10492" max="10492" width="7.453125" customWidth="1"/>
    <col min="10493" max="10493" width="1.6328125" customWidth="1"/>
    <col min="10494" max="10494" width="10" customWidth="1"/>
    <col min="10742" max="10742" width="4.453125" customWidth="1"/>
    <col min="10743" max="10744" width="5.08984375" customWidth="1"/>
    <col min="10745" max="10745" width="17.6328125" customWidth="1"/>
    <col min="10746" max="10746" width="18" customWidth="1"/>
    <col min="10747" max="10747" width="40.26953125" customWidth="1"/>
    <col min="10748" max="10748" width="7.453125" customWidth="1"/>
    <col min="10749" max="10749" width="1.6328125" customWidth="1"/>
    <col min="10750" max="10750" width="10" customWidth="1"/>
    <col min="10998" max="10998" width="4.453125" customWidth="1"/>
    <col min="10999" max="11000" width="5.08984375" customWidth="1"/>
    <col min="11001" max="11001" width="17.6328125" customWidth="1"/>
    <col min="11002" max="11002" width="18" customWidth="1"/>
    <col min="11003" max="11003" width="40.26953125" customWidth="1"/>
    <col min="11004" max="11004" width="7.453125" customWidth="1"/>
    <col min="11005" max="11005" width="1.6328125" customWidth="1"/>
    <col min="11006" max="11006" width="10" customWidth="1"/>
    <col min="11254" max="11254" width="4.453125" customWidth="1"/>
    <col min="11255" max="11256" width="5.08984375" customWidth="1"/>
    <col min="11257" max="11257" width="17.6328125" customWidth="1"/>
    <col min="11258" max="11258" width="18" customWidth="1"/>
    <col min="11259" max="11259" width="40.26953125" customWidth="1"/>
    <col min="11260" max="11260" width="7.453125" customWidth="1"/>
    <col min="11261" max="11261" width="1.6328125" customWidth="1"/>
    <col min="11262" max="11262" width="10" customWidth="1"/>
    <col min="11510" max="11510" width="4.453125" customWidth="1"/>
    <col min="11511" max="11512" width="5.08984375" customWidth="1"/>
    <col min="11513" max="11513" width="17.6328125" customWidth="1"/>
    <col min="11514" max="11514" width="18" customWidth="1"/>
    <col min="11515" max="11515" width="40.26953125" customWidth="1"/>
    <col min="11516" max="11516" width="7.453125" customWidth="1"/>
    <col min="11517" max="11517" width="1.6328125" customWidth="1"/>
    <col min="11518" max="11518" width="10" customWidth="1"/>
    <col min="11766" max="11766" width="4.453125" customWidth="1"/>
    <col min="11767" max="11768" width="5.08984375" customWidth="1"/>
    <col min="11769" max="11769" width="17.6328125" customWidth="1"/>
    <col min="11770" max="11770" width="18" customWidth="1"/>
    <col min="11771" max="11771" width="40.26953125" customWidth="1"/>
    <col min="11772" max="11772" width="7.453125" customWidth="1"/>
    <col min="11773" max="11773" width="1.6328125" customWidth="1"/>
    <col min="11774" max="11774" width="10" customWidth="1"/>
    <col min="12022" max="12022" width="4.453125" customWidth="1"/>
    <col min="12023" max="12024" width="5.08984375" customWidth="1"/>
    <col min="12025" max="12025" width="17.6328125" customWidth="1"/>
    <col min="12026" max="12026" width="18" customWidth="1"/>
    <col min="12027" max="12027" width="40.26953125" customWidth="1"/>
    <col min="12028" max="12028" width="7.453125" customWidth="1"/>
    <col min="12029" max="12029" width="1.6328125" customWidth="1"/>
    <col min="12030" max="12030" width="10" customWidth="1"/>
    <col min="12278" max="12278" width="4.453125" customWidth="1"/>
    <col min="12279" max="12280" width="5.08984375" customWidth="1"/>
    <col min="12281" max="12281" width="17.6328125" customWidth="1"/>
    <col min="12282" max="12282" width="18" customWidth="1"/>
    <col min="12283" max="12283" width="40.26953125" customWidth="1"/>
    <col min="12284" max="12284" width="7.453125" customWidth="1"/>
    <col min="12285" max="12285" width="1.6328125" customWidth="1"/>
    <col min="12286" max="12286" width="10" customWidth="1"/>
    <col min="12534" max="12534" width="4.453125" customWidth="1"/>
    <col min="12535" max="12536" width="5.08984375" customWidth="1"/>
    <col min="12537" max="12537" width="17.6328125" customWidth="1"/>
    <col min="12538" max="12538" width="18" customWidth="1"/>
    <col min="12539" max="12539" width="40.26953125" customWidth="1"/>
    <col min="12540" max="12540" width="7.453125" customWidth="1"/>
    <col min="12541" max="12541" width="1.6328125" customWidth="1"/>
    <col min="12542" max="12542" width="10" customWidth="1"/>
    <col min="12790" max="12790" width="4.453125" customWidth="1"/>
    <col min="12791" max="12792" width="5.08984375" customWidth="1"/>
    <col min="12793" max="12793" width="17.6328125" customWidth="1"/>
    <col min="12794" max="12794" width="18" customWidth="1"/>
    <col min="12795" max="12795" width="40.26953125" customWidth="1"/>
    <col min="12796" max="12796" width="7.453125" customWidth="1"/>
    <col min="12797" max="12797" width="1.6328125" customWidth="1"/>
    <col min="12798" max="12798" width="10" customWidth="1"/>
    <col min="13046" max="13046" width="4.453125" customWidth="1"/>
    <col min="13047" max="13048" width="5.08984375" customWidth="1"/>
    <col min="13049" max="13049" width="17.6328125" customWidth="1"/>
    <col min="13050" max="13050" width="18" customWidth="1"/>
    <col min="13051" max="13051" width="40.26953125" customWidth="1"/>
    <col min="13052" max="13052" width="7.453125" customWidth="1"/>
    <col min="13053" max="13053" width="1.6328125" customWidth="1"/>
    <col min="13054" max="13054" width="10" customWidth="1"/>
    <col min="13302" max="13302" width="4.453125" customWidth="1"/>
    <col min="13303" max="13304" width="5.08984375" customWidth="1"/>
    <col min="13305" max="13305" width="17.6328125" customWidth="1"/>
    <col min="13306" max="13306" width="18" customWidth="1"/>
    <col min="13307" max="13307" width="40.26953125" customWidth="1"/>
    <col min="13308" max="13308" width="7.453125" customWidth="1"/>
    <col min="13309" max="13309" width="1.6328125" customWidth="1"/>
    <col min="13310" max="13310" width="10" customWidth="1"/>
    <col min="13558" max="13558" width="4.453125" customWidth="1"/>
    <col min="13559" max="13560" width="5.08984375" customWidth="1"/>
    <col min="13561" max="13561" width="17.6328125" customWidth="1"/>
    <col min="13562" max="13562" width="18" customWidth="1"/>
    <col min="13563" max="13563" width="40.26953125" customWidth="1"/>
    <col min="13564" max="13564" width="7.453125" customWidth="1"/>
    <col min="13565" max="13565" width="1.6328125" customWidth="1"/>
    <col min="13566" max="13566" width="10" customWidth="1"/>
    <col min="13814" max="13814" width="4.453125" customWidth="1"/>
    <col min="13815" max="13816" width="5.08984375" customWidth="1"/>
    <col min="13817" max="13817" width="17.6328125" customWidth="1"/>
    <col min="13818" max="13818" width="18" customWidth="1"/>
    <col min="13819" max="13819" width="40.26953125" customWidth="1"/>
    <col min="13820" max="13820" width="7.453125" customWidth="1"/>
    <col min="13821" max="13821" width="1.6328125" customWidth="1"/>
    <col min="13822" max="13822" width="10" customWidth="1"/>
    <col min="14070" max="14070" width="4.453125" customWidth="1"/>
    <col min="14071" max="14072" width="5.08984375" customWidth="1"/>
    <col min="14073" max="14073" width="17.6328125" customWidth="1"/>
    <col min="14074" max="14074" width="18" customWidth="1"/>
    <col min="14075" max="14075" width="40.26953125" customWidth="1"/>
    <col min="14076" max="14076" width="7.453125" customWidth="1"/>
    <col min="14077" max="14077" width="1.6328125" customWidth="1"/>
    <col min="14078" max="14078" width="10" customWidth="1"/>
    <col min="14326" max="14326" width="4.453125" customWidth="1"/>
    <col min="14327" max="14328" width="5.08984375" customWidth="1"/>
    <col min="14329" max="14329" width="17.6328125" customWidth="1"/>
    <col min="14330" max="14330" width="18" customWidth="1"/>
    <col min="14331" max="14331" width="40.26953125" customWidth="1"/>
    <col min="14332" max="14332" width="7.453125" customWidth="1"/>
    <col min="14333" max="14333" width="1.6328125" customWidth="1"/>
    <col min="14334" max="14334" width="10" customWidth="1"/>
    <col min="14582" max="14582" width="4.453125" customWidth="1"/>
    <col min="14583" max="14584" width="5.08984375" customWidth="1"/>
    <col min="14585" max="14585" width="17.6328125" customWidth="1"/>
    <col min="14586" max="14586" width="18" customWidth="1"/>
    <col min="14587" max="14587" width="40.26953125" customWidth="1"/>
    <col min="14588" max="14588" width="7.453125" customWidth="1"/>
    <col min="14589" max="14589" width="1.6328125" customWidth="1"/>
    <col min="14590" max="14590" width="10" customWidth="1"/>
    <col min="14838" max="14838" width="4.453125" customWidth="1"/>
    <col min="14839" max="14840" width="5.08984375" customWidth="1"/>
    <col min="14841" max="14841" width="17.6328125" customWidth="1"/>
    <col min="14842" max="14842" width="18" customWidth="1"/>
    <col min="14843" max="14843" width="40.26953125" customWidth="1"/>
    <col min="14844" max="14844" width="7.453125" customWidth="1"/>
    <col min="14845" max="14845" width="1.6328125" customWidth="1"/>
    <col min="14846" max="14846" width="10" customWidth="1"/>
    <col min="15094" max="15094" width="4.453125" customWidth="1"/>
    <col min="15095" max="15096" width="5.08984375" customWidth="1"/>
    <col min="15097" max="15097" width="17.6328125" customWidth="1"/>
    <col min="15098" max="15098" width="18" customWidth="1"/>
    <col min="15099" max="15099" width="40.26953125" customWidth="1"/>
    <col min="15100" max="15100" width="7.453125" customWidth="1"/>
    <col min="15101" max="15101" width="1.6328125" customWidth="1"/>
    <col min="15102" max="15102" width="10" customWidth="1"/>
    <col min="15350" max="15350" width="4.453125" customWidth="1"/>
    <col min="15351" max="15352" width="5.08984375" customWidth="1"/>
    <col min="15353" max="15353" width="17.6328125" customWidth="1"/>
    <col min="15354" max="15354" width="18" customWidth="1"/>
    <col min="15355" max="15355" width="40.26953125" customWidth="1"/>
    <col min="15356" max="15356" width="7.453125" customWidth="1"/>
    <col min="15357" max="15357" width="1.6328125" customWidth="1"/>
    <col min="15358" max="15358" width="10" customWidth="1"/>
    <col min="15606" max="15606" width="4.453125" customWidth="1"/>
    <col min="15607" max="15608" width="5.08984375" customWidth="1"/>
    <col min="15609" max="15609" width="17.6328125" customWidth="1"/>
    <col min="15610" max="15610" width="18" customWidth="1"/>
    <col min="15611" max="15611" width="40.26953125" customWidth="1"/>
    <col min="15612" max="15612" width="7.453125" customWidth="1"/>
    <col min="15613" max="15613" width="1.6328125" customWidth="1"/>
    <col min="15614" max="15614" width="10" customWidth="1"/>
    <col min="15862" max="15862" width="4.453125" customWidth="1"/>
    <col min="15863" max="15864" width="5.08984375" customWidth="1"/>
    <col min="15865" max="15865" width="17.6328125" customWidth="1"/>
    <col min="15866" max="15866" width="18" customWidth="1"/>
    <col min="15867" max="15867" width="40.26953125" customWidth="1"/>
    <col min="15868" max="15868" width="7.453125" customWidth="1"/>
    <col min="15869" max="15869" width="1.6328125" customWidth="1"/>
    <col min="15870" max="15870" width="10" customWidth="1"/>
    <col min="16118" max="16118" width="4.453125" customWidth="1"/>
    <col min="16119" max="16120" width="5.08984375" customWidth="1"/>
    <col min="16121" max="16121" width="17.6328125" customWidth="1"/>
    <col min="16122" max="16122" width="18" customWidth="1"/>
    <col min="16123" max="16123" width="40.26953125" customWidth="1"/>
    <col min="16124" max="16124" width="7.453125" customWidth="1"/>
    <col min="16125" max="16125" width="1.6328125" customWidth="1"/>
    <col min="16126" max="16126" width="10" customWidth="1"/>
  </cols>
  <sheetData>
    <row r="2" spans="1:3" ht="30" customHeight="1" x14ac:dyDescent="0.2">
      <c r="B2" s="85" t="str">
        <f>"FAIR BRUG af "&amp;appNameLong</f>
        <v>FAIR BRUG af xlEasy Turnering 03x2, 04x1, 04x2, 04x3, 04x4, 05x1, 05x2, 06x1, 06x2, 07x1, 07x2, 08x1, 08x2, 09x1, 09x2, 10x1, 10x2</v>
      </c>
      <c r="C2" s="84"/>
    </row>
    <row r="4" spans="1:3" ht="49.5" customHeight="1" x14ac:dyDescent="0.2">
      <c r="B4" s="219" t="s">
        <v>173</v>
      </c>
      <c r="C4" s="219"/>
    </row>
    <row r="5" spans="1:3" ht="26.25" customHeight="1" x14ac:dyDescent="0.2">
      <c r="B5" s="219" t="s">
        <v>172</v>
      </c>
      <c r="C5" s="219"/>
    </row>
    <row r="6" spans="1:3" x14ac:dyDescent="0.2">
      <c r="B6" s="82"/>
      <c r="C6" s="82"/>
    </row>
    <row r="7" spans="1:3" x14ac:dyDescent="0.2">
      <c r="B7" s="83" t="s">
        <v>171</v>
      </c>
      <c r="C7" s="82"/>
    </row>
    <row r="8" spans="1:3" ht="91.5" customHeight="1" x14ac:dyDescent="0.2">
      <c r="B8" s="219" t="s">
        <v>170</v>
      </c>
      <c r="C8" s="219"/>
    </row>
    <row r="9" spans="1:3" x14ac:dyDescent="0.2">
      <c r="B9" s="82"/>
      <c r="C9" s="82"/>
    </row>
    <row r="10" spans="1:3" x14ac:dyDescent="0.2">
      <c r="B10" s="82" t="str">
        <f ca="1">"© Elting ApS, "&amp;TEXT(TODAY(),"åååå")</f>
        <v>© Elting ApS, 2020</v>
      </c>
      <c r="C10" s="82"/>
    </row>
    <row r="11" spans="1:3" x14ac:dyDescent="0.2">
      <c r="B11" s="82"/>
      <c r="C11" s="82"/>
    </row>
    <row r="12" spans="1:3" ht="24.6" x14ac:dyDescent="0.4">
      <c r="A12" s="81"/>
      <c r="B12" s="220" t="s">
        <v>169</v>
      </c>
      <c r="C12" s="220"/>
    </row>
    <row r="13" spans="1:3" ht="60.75" customHeight="1" x14ac:dyDescent="0.2">
      <c r="B13" s="221" t="s">
        <v>174</v>
      </c>
      <c r="C13" s="221"/>
    </row>
  </sheetData>
  <sheetProtection sheet="1" objects="1" scenarios="1"/>
  <mergeCells count="5">
    <mergeCell ref="B4:C4"/>
    <mergeCell ref="B5:C5"/>
    <mergeCell ref="B8:C8"/>
    <mergeCell ref="B12:C12"/>
    <mergeCell ref="B13:C13"/>
  </mergeCells>
  <hyperlinks>
    <hyperlink ref="B12" r:id="rId1" xr:uid="{00000000-0004-0000-0100-000000000000}"/>
  </hyperlinks>
  <pageMargins left="0.70866141732283472" right="0.59055118110236227" top="0.70866141732283472" bottom="0.86614173228346458" header="0.19685039370078741" footer="0.31496062992125984"/>
  <pageSetup paperSize="9" scale="77" fitToHeight="0"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FBD9-0475-45CE-A0E5-FF083D92136D}">
  <sheetPr codeName="grp03x2">
    <tabColor theme="4" tint="-0.249977111117893"/>
    <outlinePr showOutlineSymbols="0"/>
    <pageSetUpPr fitToPage="1"/>
  </sheetPr>
  <dimension ref="A1:X25"/>
  <sheetViews>
    <sheetView showGridLines="0" showRowColHeaders="0" showOutlineSymbols="0" zoomScaleNormal="100" zoomScaleSheetLayoutView="100" workbookViewId="0">
      <pane ySplit="14" topLeftCell="A15" activePane="bottomLeft" state="frozen"/>
      <selection activeCell="L43" sqref="L43"/>
      <selection pane="bottomLeft" activeCell="P15" sqref="P15"/>
    </sheetView>
  </sheetViews>
  <sheetFormatPr defaultColWidth="9" defaultRowHeight="12.6" outlineLevelRow="1" outlineLevelCol="1" x14ac:dyDescent="0.2"/>
  <cols>
    <col min="1" max="7" width="0" hidden="1" customWidth="1" outlineLevel="1"/>
    <col min="8" max="10" width="6" hidden="1" customWidth="1" outlineLevel="1"/>
    <col min="11" max="11" width="8.90625" hidden="1" customWidth="1" outlineLevel="1"/>
    <col min="12" max="12" width="6.453125" hidden="1" customWidth="1" outlineLevel="1"/>
    <col min="13" max="13" width="4.6328125" hidden="1" customWidth="1" outlineLevel="1"/>
    <col min="14" max="14" width="3.6328125" customWidth="1" collapsed="1"/>
    <col min="15" max="15" width="5.63281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I1" s="183"/>
      <c r="J1" s="183"/>
      <c r="K1" s="183"/>
      <c r="L1" t="s">
        <v>192</v>
      </c>
      <c r="M1" s="183"/>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5" si="0">INDEX(xTeams,A3,1)</f>
        <v>Assens</v>
      </c>
      <c r="C3" s="96">
        <f t="shared" ref="C3" ca="1" si="1">SUMIF(team1,teams,goals1)+SUMIF(team2,teams,goals2)</f>
        <v>16</v>
      </c>
      <c r="D3" s="96">
        <f t="shared" ref="D3" ca="1" si="2">SUMIF(team1,teams,goals2)+SUMIF(team2,teams,goals1)</f>
        <v>13</v>
      </c>
      <c r="E3" s="104">
        <f t="shared" ref="E3:E5" ca="1" si="3">SUMIFS(
   points1,team1,teams
) +
  SUMIFS(points2,team2,teams)</f>
        <v>7</v>
      </c>
      <c r="F3" s="96">
        <f t="shared" ref="F3:F5" ca="1" si="4">C3-D3</f>
        <v>3</v>
      </c>
      <c r="G3" s="96">
        <f t="shared" ref="G3:G5" ca="1" si="5">COUNTIFS(team1,$B3,points1,"&gt;=0")+COUNTIFS(team2,$B3,points2,"&gt;=0")</f>
        <v>4</v>
      </c>
      <c r="H3" s="105">
        <f ca="1">IF(G3=0,1,0)</f>
        <v>0</v>
      </c>
      <c r="I3" s="105">
        <f ca="1">RANK($E3,$E$3:$E$5,0)</f>
        <v>1</v>
      </c>
      <c r="J3" s="98">
        <f ca="1">RANK($F3,$F$3:$F$5,0)/10</f>
        <v>0.2</v>
      </c>
      <c r="K3" s="99">
        <f ca="1">RANK($C3,$C$3:$C$5,0)/100</f>
        <v>0.01</v>
      </c>
      <c r="L3" s="99">
        <f ca="1">SUM(H3:K3)</f>
        <v>1.21</v>
      </c>
      <c r="M3" s="96">
        <f ca="1">RANK($L3,$L$3:$L$5,1) + COUNTIF($L$3:$L3,$L3)-1</f>
        <v>2</v>
      </c>
    </row>
    <row r="4" spans="1:24" hidden="1" outlineLevel="1" x14ac:dyDescent="0.2">
      <c r="A4" s="103">
        <v>2</v>
      </c>
      <c r="B4" s="103" t="str">
        <f t="shared" si="0"/>
        <v>Bogense</v>
      </c>
      <c r="C4" s="96">
        <f t="shared" ref="C4:C5" ca="1" si="6">SUMIF(team1,teams,goals1)+SUMIF(team2,teams,goals2)</f>
        <v>7</v>
      </c>
      <c r="D4" s="96">
        <f t="shared" ref="D4:D5" ca="1" si="7">SUMIF(team1,teams,goals2)+SUMIF(team2,teams,goals1)</f>
        <v>14</v>
      </c>
      <c r="E4" s="104">
        <f t="shared" ca="1" si="3"/>
        <v>3</v>
      </c>
      <c r="F4" s="96">
        <f t="shared" ca="1" si="4"/>
        <v>-7</v>
      </c>
      <c r="G4" s="96">
        <f t="shared" ca="1" si="5"/>
        <v>4</v>
      </c>
      <c r="H4" s="105">
        <f t="shared" ref="H4:H5" ca="1" si="8">IF(G4=0,1,0)</f>
        <v>0</v>
      </c>
      <c r="I4" s="105">
        <f ca="1">RANK($E4,$E$3:$E$5,0)</f>
        <v>3</v>
      </c>
      <c r="J4" s="98">
        <f t="shared" ref="J4:J5" ca="1" si="9">RANK($F4,$F$3:$F$5,0)/10</f>
        <v>0.3</v>
      </c>
      <c r="K4" s="99">
        <f ca="1">RANK($C4,$C$3:$C$5,0)/100</f>
        <v>0.03</v>
      </c>
      <c r="L4" s="99">
        <f t="shared" ref="L4:L5" ca="1" si="10">SUM(H4:K4)</f>
        <v>3.3299999999999996</v>
      </c>
      <c r="M4" s="96">
        <f ca="1">RANK($L4,$L$3:$L$5,1) + COUNTIF($L$3:$L4,$L4)-1</f>
        <v>3</v>
      </c>
    </row>
    <row r="5" spans="1:24" hidden="1" outlineLevel="1" x14ac:dyDescent="0.2">
      <c r="A5" s="103">
        <v>3</v>
      </c>
      <c r="B5" s="103" t="str">
        <f t="shared" si="0"/>
        <v>Christiansfelt</v>
      </c>
      <c r="C5" s="96">
        <f t="shared" ca="1" si="6"/>
        <v>16</v>
      </c>
      <c r="D5" s="96">
        <f t="shared" ca="1" si="7"/>
        <v>12</v>
      </c>
      <c r="E5" s="104">
        <f t="shared" ca="1" si="3"/>
        <v>7</v>
      </c>
      <c r="F5" s="96">
        <f t="shared" ca="1" si="4"/>
        <v>4</v>
      </c>
      <c r="G5" s="96">
        <f t="shared" ca="1" si="5"/>
        <v>4</v>
      </c>
      <c r="H5" s="105">
        <f t="shared" ca="1" si="8"/>
        <v>0</v>
      </c>
      <c r="I5" s="105">
        <f ca="1">RANK($E5,$E$3:$E$5,0)</f>
        <v>1</v>
      </c>
      <c r="J5" s="98">
        <f t="shared" ca="1" si="9"/>
        <v>0.1</v>
      </c>
      <c r="K5" s="99">
        <f ca="1">RANK($C5,$C$3:$C$5,0)/100</f>
        <v>0.01</v>
      </c>
      <c r="L5" s="99">
        <f t="shared" ca="1" si="10"/>
        <v>1.1100000000000001</v>
      </c>
      <c r="M5" s="96">
        <f ca="1">RANK($L5,$L$3:$L$5,1) + COUNTIF($L$3:$L5,$L5)-1</f>
        <v>1</v>
      </c>
    </row>
    <row r="6" spans="1:24" ht="13.2" collapsed="1" thickBot="1" x14ac:dyDescent="0.25">
      <c r="O6"/>
      <c r="P6"/>
      <c r="Q6"/>
      <c r="R6"/>
    </row>
    <row r="7" spans="1:24" s="4" customFormat="1" ht="24" thickBot="1" x14ac:dyDescent="0.5">
      <c r="A7" s="42" t="s">
        <v>168</v>
      </c>
      <c r="B7" s="97">
        <v>4</v>
      </c>
      <c r="C7" s="72"/>
      <c r="D7" s="73" t="s">
        <v>65</v>
      </c>
      <c r="E7" s="97">
        <f>(B7/2)*(B7-1)</f>
        <v>6</v>
      </c>
      <c r="O7" s="75" t="str">
        <f>TurneringsNavn</f>
        <v>Forårsstævne</v>
      </c>
      <c r="P7" s="5"/>
      <c r="Q7" s="5"/>
      <c r="R7" s="5"/>
      <c r="S7" s="5"/>
      <c r="T7" s="5"/>
      <c r="U7" s="5"/>
      <c r="V7" s="5"/>
      <c r="W7" s="5"/>
      <c r="X7" s="5"/>
    </row>
    <row r="8" spans="1:24" ht="6.75" customHeight="1" x14ac:dyDescent="0.2">
      <c r="O8"/>
      <c r="P8"/>
      <c r="Q8"/>
      <c r="R8"/>
    </row>
    <row r="9" spans="1:24" ht="13.8" x14ac:dyDescent="0.25">
      <c r="B9" s="6" t="s">
        <v>66</v>
      </c>
      <c r="C9" s="6" t="s">
        <v>67</v>
      </c>
      <c r="D9" s="6" t="s">
        <v>68</v>
      </c>
      <c r="E9" s="7" t="s">
        <v>2</v>
      </c>
      <c r="F9" s="6" t="s">
        <v>3</v>
      </c>
      <c r="G9" s="6" t="s">
        <v>4</v>
      </c>
      <c r="H9" s="6" t="s">
        <v>167</v>
      </c>
      <c r="K9" s="6"/>
      <c r="L9" s="6"/>
      <c r="M9" s="6"/>
      <c r="N9" s="6"/>
      <c r="O9" s="128" t="s">
        <v>198</v>
      </c>
      <c r="P9" s="129" t="s">
        <v>176</v>
      </c>
      <c r="Q9" s="129"/>
      <c r="R9" s="130" t="s">
        <v>5</v>
      </c>
      <c r="S9" s="128" t="s">
        <v>6</v>
      </c>
      <c r="T9" s="128" t="s">
        <v>7</v>
      </c>
      <c r="U9" s="128" t="s">
        <v>8</v>
      </c>
      <c r="V9" s="128" t="s">
        <v>9</v>
      </c>
      <c r="W9" s="128" t="s">
        <v>10</v>
      </c>
      <c r="X9" s="131" t="s">
        <v>177</v>
      </c>
    </row>
    <row r="10" spans="1:24" ht="17.399999999999999" x14ac:dyDescent="0.35">
      <c r="A10" s="6" t="s">
        <v>66</v>
      </c>
      <c r="B10" s="8"/>
      <c r="C10" s="9">
        <v>3</v>
      </c>
      <c r="D10" s="9">
        <v>5</v>
      </c>
      <c r="E10" s="10" t="str">
        <f ca="1">IFERROR(CHOOSE((P10=H$24)*1+(P10=I$24)*2+(P10=H$22)*3,"Guld","Sølv","Bronze"),"")</f>
        <v/>
      </c>
      <c r="F10" s="11">
        <f t="shared" ref="F10:G12" ca="1" si="11">COUNTIF(P$15:P$20,$B3)</f>
        <v>2</v>
      </c>
      <c r="G10" s="11">
        <f t="shared" ca="1" si="11"/>
        <v>2</v>
      </c>
      <c r="H10" s="11">
        <f ca="1">F10+G10</f>
        <v>4</v>
      </c>
      <c r="K10" s="11"/>
      <c r="L10" s="11"/>
      <c r="M10" s="11"/>
      <c r="N10" s="11"/>
      <c r="O10" s="119">
        <v>1</v>
      </c>
      <c r="P10" s="120" t="str">
        <f ca="1" xml:space="preserve">  INDEX(teams,MATCH(rankNum,actRank,0))</f>
        <v>Christiansfelt</v>
      </c>
      <c r="Q10" s="120"/>
      <c r="R10" s="127">
        <f t="shared" ref="R10:R12" ca="1" si="12">COUNTIFS(team1,teamName,points1,"&gt;=0")+COUNTIFS(team2,teamName,points2,"&gt;=0")</f>
        <v>4</v>
      </c>
      <c r="S10" s="143">
        <f t="shared" ref="S10:S12" ca="1" si="13">COUNTIFS(team1,teamName,points1,ptv)+COUNTIFS(team2,teamName,points2,ptv)</f>
        <v>2</v>
      </c>
      <c r="T10" s="121">
        <f t="shared" ref="T10:T12" ca="1" si="14">COUNTIFS(team1,teamName,points1,ptu)+COUNTIFS(team2,teamName,points2,ptu)</f>
        <v>1</v>
      </c>
      <c r="U10" s="121">
        <f t="shared" ref="U10:U12" ca="1" si="15">COUNTIFS(team1,teamName,points1,ptt)+COUNTIFS(team2,teamName,points2,ptt)</f>
        <v>1</v>
      </c>
      <c r="V10" s="143">
        <f t="shared" ref="V10:V12" ca="1" si="16">SUMIF(team1,teamName,goals1)+SUMIF(team2,teamName,goals2)</f>
        <v>16</v>
      </c>
      <c r="W10" s="121">
        <f t="shared" ref="W10:W12" ca="1" si="17">SUMIF(team1,teamName,goals2)+SUMIF(team2,teamName,goals1)</f>
        <v>12</v>
      </c>
      <c r="X10" s="144">
        <f t="shared" ref="X10:X12" ca="1" si="18">SUMIFS(points1,team1,teamName)+SUMIFS(points2,team2,teamName)</f>
        <v>7</v>
      </c>
    </row>
    <row r="11" spans="1:24" ht="17.399999999999999" x14ac:dyDescent="0.35">
      <c r="A11" s="6" t="s">
        <v>67</v>
      </c>
      <c r="B11" s="9">
        <v>6</v>
      </c>
      <c r="C11" s="8"/>
      <c r="D11" s="9">
        <v>1</v>
      </c>
      <c r="E11" s="10" t="str">
        <f ca="1">IFERROR(CHOOSE((P11=H$24)*1+(P11=I$24)*2+(P11=H$22)*3,"Guld","Sølv","Bronze"),"")</f>
        <v/>
      </c>
      <c r="F11" s="11">
        <f t="shared" ca="1" si="11"/>
        <v>2</v>
      </c>
      <c r="G11" s="11">
        <f t="shared" ca="1" si="11"/>
        <v>2</v>
      </c>
      <c r="H11" s="11">
        <f t="shared" ref="H11:H12" ca="1" si="19">F11+G11</f>
        <v>4</v>
      </c>
      <c r="K11" s="11"/>
      <c r="L11" s="11"/>
      <c r="M11" s="11"/>
      <c r="N11" s="11"/>
      <c r="O11" s="119">
        <v>2</v>
      </c>
      <c r="P11" s="120" t="str">
        <f t="shared" ref="P11:P12" ca="1" si="20" xml:space="preserve">  INDEX(teams,MATCH(rankNum,actRank,0))</f>
        <v>Assens</v>
      </c>
      <c r="Q11" s="120"/>
      <c r="R11" s="127">
        <f t="shared" ca="1" si="12"/>
        <v>4</v>
      </c>
      <c r="S11" s="143">
        <f t="shared" ca="1" si="13"/>
        <v>2</v>
      </c>
      <c r="T11" s="121">
        <f t="shared" ca="1" si="14"/>
        <v>1</v>
      </c>
      <c r="U11" s="121">
        <f t="shared" ca="1" si="15"/>
        <v>1</v>
      </c>
      <c r="V11" s="143">
        <f t="shared" ca="1" si="16"/>
        <v>16</v>
      </c>
      <c r="W11" s="121">
        <f t="shared" ca="1" si="17"/>
        <v>13</v>
      </c>
      <c r="X11" s="144">
        <f t="shared" ca="1" si="18"/>
        <v>7</v>
      </c>
    </row>
    <row r="12" spans="1:24" ht="17.399999999999999" x14ac:dyDescent="0.35">
      <c r="A12" s="6" t="s">
        <v>68</v>
      </c>
      <c r="B12" s="9">
        <v>2</v>
      </c>
      <c r="C12" s="9">
        <v>4</v>
      </c>
      <c r="D12" s="8"/>
      <c r="E12" s="10" t="str">
        <f ca="1">IFERROR(CHOOSE((P12=H$24)*1+(P12=I$24)*2+(P12=H$22)*3,"Guld","Sølv","Bronze"),"")</f>
        <v/>
      </c>
      <c r="F12" s="11">
        <f t="shared" ca="1" si="11"/>
        <v>2</v>
      </c>
      <c r="G12" s="11">
        <f t="shared" ca="1" si="11"/>
        <v>2</v>
      </c>
      <c r="H12" s="11">
        <f t="shared" ca="1" si="19"/>
        <v>4</v>
      </c>
      <c r="K12" s="11"/>
      <c r="L12" s="11"/>
      <c r="M12" s="11"/>
      <c r="N12" s="11"/>
      <c r="O12" s="119">
        <v>3</v>
      </c>
      <c r="P12" s="120" t="str">
        <f t="shared" ca="1" si="20"/>
        <v>Bogense</v>
      </c>
      <c r="Q12" s="120"/>
      <c r="R12" s="127">
        <f t="shared" ca="1" si="12"/>
        <v>4</v>
      </c>
      <c r="S12" s="143">
        <f t="shared" ca="1" si="13"/>
        <v>1</v>
      </c>
      <c r="T12" s="121">
        <f t="shared" ca="1" si="14"/>
        <v>0</v>
      </c>
      <c r="U12" s="121">
        <f t="shared" ca="1" si="15"/>
        <v>3</v>
      </c>
      <c r="V12" s="143">
        <f t="shared" ca="1" si="16"/>
        <v>7</v>
      </c>
      <c r="W12" s="121">
        <f t="shared" ca="1" si="17"/>
        <v>14</v>
      </c>
      <c r="X12" s="144">
        <f t="shared" ca="1" si="18"/>
        <v>3</v>
      </c>
    </row>
    <row r="13" spans="1:24" x14ac:dyDescent="0.2">
      <c r="O13"/>
      <c r="P13"/>
      <c r="Q13"/>
      <c r="R13"/>
    </row>
    <row r="14" spans="1:24" s="12" customFormat="1" ht="15" thickBot="1" x14ac:dyDescent="0.35">
      <c r="C14" s="44" t="s">
        <v>17</v>
      </c>
      <c r="D14" s="45" t="s">
        <v>18</v>
      </c>
      <c r="E14" s="61" t="s">
        <v>19</v>
      </c>
      <c r="F14" s="47" t="s">
        <v>20</v>
      </c>
      <c r="G14" s="47" t="s">
        <v>21</v>
      </c>
      <c r="H14" s="47" t="s">
        <v>22</v>
      </c>
      <c r="I14" s="47" t="s">
        <v>23</v>
      </c>
      <c r="J14" s="48" t="s">
        <v>24</v>
      </c>
      <c r="K14" s="49" t="s">
        <v>25</v>
      </c>
      <c r="L14" s="49"/>
      <c r="O14" s="140" t="s">
        <v>5</v>
      </c>
      <c r="P14" s="139" t="s">
        <v>26</v>
      </c>
      <c r="Q14" s="139" t="s">
        <v>27</v>
      </c>
      <c r="R14" s="179" t="s">
        <v>28</v>
      </c>
      <c r="S14" s="179" t="s">
        <v>29</v>
      </c>
      <c r="T14" s="179" t="s">
        <v>30</v>
      </c>
      <c r="U14" s="180" t="s">
        <v>31</v>
      </c>
      <c r="V14" s="180" t="s">
        <v>31</v>
      </c>
      <c r="W14" s="138" t="s">
        <v>32</v>
      </c>
      <c r="X14" s="138" t="s">
        <v>32</v>
      </c>
    </row>
    <row r="15" spans="1:24" ht="17.399999999999999" x14ac:dyDescent="0.35">
      <c r="A15" s="13"/>
      <c r="B15" s="14"/>
      <c r="C15" s="50" t="s">
        <v>95</v>
      </c>
      <c r="D15" s="51"/>
      <c r="E15" s="50">
        <v>1</v>
      </c>
      <c r="F15" s="52">
        <f t="shared" ref="F15:F20" si="21">SUMPRODUCT((HxA=$E15)*(COLUMN(HxA)))-COLUMN(HxA)+1</f>
        <v>4</v>
      </c>
      <c r="G15" s="52">
        <f t="shared" ref="G15:G20" si="22">SUMPRODUCT((HxA=$E15)*(ROW(HxA)))-ROW(HxA)+1</f>
        <v>3</v>
      </c>
      <c r="H15" s="53" t="str">
        <f t="shared" ref="H15:H20" si="23">INDEX(HxA,G15,1)</f>
        <v>T_02</v>
      </c>
      <c r="I15" s="53" t="str">
        <f t="shared" ref="I15:I20" si="24">INDEX(HxA,1,F15)</f>
        <v>T_03</v>
      </c>
      <c r="J15" s="54"/>
      <c r="K15" s="55">
        <v>43832</v>
      </c>
      <c r="L15" s="71"/>
      <c r="O15" s="122">
        <v>1</v>
      </c>
      <c r="P15" s="122" t="str">
        <f t="shared" ref="P15:Q20" ca="1" si="25">INDIRECT(H15)</f>
        <v>Bogense</v>
      </c>
      <c r="Q15" s="122" t="str">
        <f t="shared" ca="1" si="25"/>
        <v>Christiansfelt</v>
      </c>
      <c r="R15" s="161">
        <v>43832</v>
      </c>
      <c r="S15" s="162" t="s">
        <v>33</v>
      </c>
      <c r="T15" s="163">
        <v>1</v>
      </c>
      <c r="U15" s="164">
        <v>0</v>
      </c>
      <c r="V15" s="165">
        <v>4</v>
      </c>
      <c r="W15" s="121">
        <f t="shared" ref="W15:W20" si="26">IF(ISNUMBER(U15)*ISNUMBER(V15),IF(U15&gt;V15,ptv, IF(U15=V15,ptu,ptt)),"-")</f>
        <v>0</v>
      </c>
      <c r="X15" s="121">
        <f t="shared" ref="X15:X20" si="27">IF(ISNUMBER(U15)*ISNUMBER(V15),IF(W15=ptv,ptt,IF(W15=ptu,ptu,ptv)),"-")</f>
        <v>3</v>
      </c>
    </row>
    <row r="16" spans="1:24" ht="18" thickBot="1" x14ac:dyDescent="0.4">
      <c r="A16" s="13"/>
      <c r="B16" s="14"/>
      <c r="C16" s="67" t="s">
        <v>111</v>
      </c>
      <c r="D16" s="66">
        <f>OR(H16=H15,H16=I15,I16=H15,I16=I15)*1</f>
        <v>1</v>
      </c>
      <c r="E16" s="67">
        <v>2</v>
      </c>
      <c r="F16" s="68">
        <f t="shared" si="21"/>
        <v>2</v>
      </c>
      <c r="G16" s="68">
        <f t="shared" si="22"/>
        <v>4</v>
      </c>
      <c r="H16" s="69" t="str">
        <f t="shared" si="23"/>
        <v>T_03</v>
      </c>
      <c r="I16" s="69" t="str">
        <f t="shared" si="24"/>
        <v>T_01</v>
      </c>
      <c r="J16" s="69">
        <v>0</v>
      </c>
      <c r="K16" s="70">
        <f>$K$15+J16</f>
        <v>43832</v>
      </c>
      <c r="L16" s="71"/>
      <c r="O16" s="122">
        <v>2</v>
      </c>
      <c r="P16" s="122" t="str">
        <f t="shared" ca="1" si="25"/>
        <v>Christiansfelt</v>
      </c>
      <c r="Q16" s="122" t="str">
        <f t="shared" ca="1" si="25"/>
        <v>Assens</v>
      </c>
      <c r="R16" s="134">
        <v>43832</v>
      </c>
      <c r="S16" s="123" t="s">
        <v>33</v>
      </c>
      <c r="T16" s="146">
        <v>2</v>
      </c>
      <c r="U16" s="147">
        <v>5</v>
      </c>
      <c r="V16" s="148">
        <v>5</v>
      </c>
      <c r="W16" s="121">
        <f t="shared" si="26"/>
        <v>1</v>
      </c>
      <c r="X16" s="121">
        <f t="shared" si="27"/>
        <v>1</v>
      </c>
    </row>
    <row r="17" spans="1:24" ht="17.399999999999999" x14ac:dyDescent="0.35">
      <c r="A17" s="13"/>
      <c r="B17" s="14"/>
      <c r="C17" s="63" t="s">
        <v>116</v>
      </c>
      <c r="D17" s="62">
        <f t="shared" ref="D17:D20" si="28">OR(H17=H16,H17=I16,I17=H16,I17=I16)*1</f>
        <v>1</v>
      </c>
      <c r="E17" s="63">
        <v>3</v>
      </c>
      <c r="F17" s="51">
        <f t="shared" si="21"/>
        <v>3</v>
      </c>
      <c r="G17" s="51">
        <f t="shared" si="22"/>
        <v>2</v>
      </c>
      <c r="H17" s="64" t="str">
        <f t="shared" si="23"/>
        <v>T_01</v>
      </c>
      <c r="I17" s="64" t="str">
        <f t="shared" si="24"/>
        <v>T_02</v>
      </c>
      <c r="J17" s="64">
        <v>0</v>
      </c>
      <c r="K17" s="65">
        <f t="shared" ref="K17:K24" si="29">$K$15+J17</f>
        <v>43832</v>
      </c>
      <c r="L17" s="71"/>
      <c r="O17" s="122">
        <v>3</v>
      </c>
      <c r="P17" s="122" t="str">
        <f t="shared" ca="1" si="25"/>
        <v>Assens</v>
      </c>
      <c r="Q17" s="122" t="str">
        <f t="shared" ca="1" si="25"/>
        <v>Bogense</v>
      </c>
      <c r="R17" s="134">
        <v>43832</v>
      </c>
      <c r="S17" s="123" t="s">
        <v>33</v>
      </c>
      <c r="T17" s="146">
        <v>1</v>
      </c>
      <c r="U17" s="147">
        <v>3</v>
      </c>
      <c r="V17" s="148">
        <v>5</v>
      </c>
      <c r="W17" s="121">
        <f t="shared" si="26"/>
        <v>0</v>
      </c>
      <c r="X17" s="121">
        <f t="shared" si="27"/>
        <v>3</v>
      </c>
    </row>
    <row r="18" spans="1:24" ht="18" thickBot="1" x14ac:dyDescent="0.4">
      <c r="A18" s="13"/>
      <c r="B18" s="14"/>
      <c r="C18" s="67" t="s">
        <v>140</v>
      </c>
      <c r="D18" s="66">
        <f t="shared" si="28"/>
        <v>1</v>
      </c>
      <c r="E18" s="67">
        <v>4</v>
      </c>
      <c r="F18" s="68">
        <f t="shared" si="21"/>
        <v>3</v>
      </c>
      <c r="G18" s="68">
        <f t="shared" si="22"/>
        <v>4</v>
      </c>
      <c r="H18" s="69" t="str">
        <f t="shared" si="23"/>
        <v>T_03</v>
      </c>
      <c r="I18" s="69" t="str">
        <f t="shared" si="24"/>
        <v>T_02</v>
      </c>
      <c r="J18" s="69">
        <v>1</v>
      </c>
      <c r="K18" s="70">
        <f t="shared" si="29"/>
        <v>43833</v>
      </c>
      <c r="L18" s="71"/>
      <c r="O18" s="122">
        <v>4</v>
      </c>
      <c r="P18" s="122" t="str">
        <f t="shared" ca="1" si="25"/>
        <v>Christiansfelt</v>
      </c>
      <c r="Q18" s="122" t="str">
        <f t="shared" ca="1" si="25"/>
        <v>Bogense</v>
      </c>
      <c r="R18" s="134">
        <v>43833</v>
      </c>
      <c r="S18" s="123" t="s">
        <v>33</v>
      </c>
      <c r="T18" s="146">
        <v>2</v>
      </c>
      <c r="U18" s="147">
        <v>4</v>
      </c>
      <c r="V18" s="148">
        <v>2</v>
      </c>
      <c r="W18" s="121">
        <f t="shared" si="26"/>
        <v>3</v>
      </c>
      <c r="X18" s="121">
        <f t="shared" si="27"/>
        <v>0</v>
      </c>
    </row>
    <row r="19" spans="1:24" ht="17.399999999999999" x14ac:dyDescent="0.35">
      <c r="A19" s="13"/>
      <c r="B19" s="14"/>
      <c r="C19" s="63" t="s">
        <v>156</v>
      </c>
      <c r="D19" s="62">
        <f t="shared" si="28"/>
        <v>1</v>
      </c>
      <c r="E19" s="63">
        <v>5</v>
      </c>
      <c r="F19" s="51">
        <f t="shared" si="21"/>
        <v>4</v>
      </c>
      <c r="G19" s="51">
        <f t="shared" si="22"/>
        <v>2</v>
      </c>
      <c r="H19" s="64" t="str">
        <f t="shared" si="23"/>
        <v>T_01</v>
      </c>
      <c r="I19" s="64" t="str">
        <f t="shared" si="24"/>
        <v>T_03</v>
      </c>
      <c r="J19" s="64">
        <v>1</v>
      </c>
      <c r="K19" s="65">
        <f t="shared" si="29"/>
        <v>43833</v>
      </c>
      <c r="L19" s="71"/>
      <c r="O19" s="122">
        <v>5</v>
      </c>
      <c r="P19" s="122" t="str">
        <f t="shared" ca="1" si="25"/>
        <v>Assens</v>
      </c>
      <c r="Q19" s="122" t="str">
        <f t="shared" ca="1" si="25"/>
        <v>Christiansfelt</v>
      </c>
      <c r="R19" s="134">
        <v>43833</v>
      </c>
      <c r="S19" s="123" t="s">
        <v>33</v>
      </c>
      <c r="T19" s="146">
        <v>1</v>
      </c>
      <c r="U19" s="147">
        <v>5</v>
      </c>
      <c r="V19" s="148">
        <v>3</v>
      </c>
      <c r="W19" s="121">
        <f t="shared" si="26"/>
        <v>3</v>
      </c>
      <c r="X19" s="121">
        <f t="shared" si="27"/>
        <v>0</v>
      </c>
    </row>
    <row r="20" spans="1:24" ht="18" thickBot="1" x14ac:dyDescent="0.4">
      <c r="A20" s="13"/>
      <c r="B20" s="14"/>
      <c r="C20" s="67" t="s">
        <v>161</v>
      </c>
      <c r="D20" s="66">
        <f t="shared" si="28"/>
        <v>1</v>
      </c>
      <c r="E20" s="67">
        <v>6</v>
      </c>
      <c r="F20" s="68">
        <f t="shared" si="21"/>
        <v>2</v>
      </c>
      <c r="G20" s="68">
        <f t="shared" si="22"/>
        <v>3</v>
      </c>
      <c r="H20" s="69" t="str">
        <f t="shared" si="23"/>
        <v>T_02</v>
      </c>
      <c r="I20" s="69" t="str">
        <f t="shared" si="24"/>
        <v>T_01</v>
      </c>
      <c r="J20" s="69">
        <v>1</v>
      </c>
      <c r="K20" s="70">
        <f t="shared" si="29"/>
        <v>43833</v>
      </c>
      <c r="L20" s="71"/>
      <c r="O20" s="124">
        <v>6</v>
      </c>
      <c r="P20" s="124" t="str">
        <f t="shared" ca="1" si="25"/>
        <v>Bogense</v>
      </c>
      <c r="Q20" s="124" t="str">
        <f t="shared" ca="1" si="25"/>
        <v>Assens</v>
      </c>
      <c r="R20" s="135">
        <v>43833</v>
      </c>
      <c r="S20" s="125" t="s">
        <v>33</v>
      </c>
      <c r="T20" s="149">
        <v>2</v>
      </c>
      <c r="U20" s="150">
        <v>0</v>
      </c>
      <c r="V20" s="151">
        <v>3</v>
      </c>
      <c r="W20" s="126">
        <f t="shared" si="26"/>
        <v>0</v>
      </c>
      <c r="X20" s="126">
        <f t="shared" si="27"/>
        <v>3</v>
      </c>
    </row>
    <row r="21" spans="1:24" ht="18" thickBot="1" x14ac:dyDescent="0.4">
      <c r="H21" s="19" t="s">
        <v>34</v>
      </c>
      <c r="I21" s="19" t="s">
        <v>35</v>
      </c>
      <c r="J21" s="15"/>
      <c r="K21" s="17"/>
      <c r="L21" s="71"/>
      <c r="P21" s="92"/>
      <c r="Q21" s="92"/>
      <c r="R21" s="92"/>
      <c r="S21" s="5"/>
      <c r="T21" s="5"/>
      <c r="U21" s="16"/>
      <c r="V21" s="185"/>
    </row>
    <row r="22" spans="1:24" ht="18" thickBot="1" x14ac:dyDescent="0.4">
      <c r="H22" s="20" t="str">
        <f>IF(ISNUMBER(U22),IF(U22&gt;V22,P22,Q22),"")</f>
        <v/>
      </c>
      <c r="I22" s="20" t="str">
        <f>IF(ISNUMBER(U22),IF(H22=P22,Q22,P22),"")</f>
        <v/>
      </c>
      <c r="J22" s="15">
        <v>10</v>
      </c>
      <c r="K22" s="17">
        <f t="shared" si="29"/>
        <v>43842</v>
      </c>
      <c r="L22" s="71"/>
      <c r="O22" s="89" t="s">
        <v>64</v>
      </c>
      <c r="P22" s="90"/>
      <c r="Q22" s="90"/>
      <c r="R22" s="174">
        <v>41660</v>
      </c>
      <c r="S22" s="175">
        <v>0.54166666666666663</v>
      </c>
      <c r="T22" s="176">
        <v>2</v>
      </c>
      <c r="U22" s="177"/>
      <c r="V22" s="178"/>
      <c r="W22" s="21" t="str">
        <f t="shared" ref="W22" si="30">IF(ISNUMBER(U22)*ISNUMBER(V22),IF(U22&gt;V22,ptv, IF(U22=V22,ptu,ptt)),"-")</f>
        <v>-</v>
      </c>
      <c r="X22" s="21" t="str">
        <f t="shared" ref="X22" si="31">IF(ISNUMBER(U22)*ISNUMBER(V22),IF(W22=ptv,ptt,IF(W22=ptu,ptu,ptv)),"-")</f>
        <v>-</v>
      </c>
    </row>
    <row r="23" spans="1:24" ht="15" thickBot="1" x14ac:dyDescent="0.25">
      <c r="H23" s="19" t="s">
        <v>36</v>
      </c>
      <c r="I23" s="19" t="s">
        <v>37</v>
      </c>
      <c r="J23" s="15"/>
      <c r="K23" s="17"/>
      <c r="L23" s="71"/>
      <c r="P23" s="92"/>
      <c r="Q23" s="92"/>
      <c r="R23" s="92"/>
      <c r="S23" s="5"/>
      <c r="T23" s="5"/>
      <c r="U23" s="5"/>
      <c r="V23" s="94"/>
    </row>
    <row r="24" spans="1:24" ht="18" thickBot="1" x14ac:dyDescent="0.4">
      <c r="H24" s="20" t="str">
        <f>IF(ISNUMBER(U24),IF(U24&gt;V24,P24,Q24),"")</f>
        <v/>
      </c>
      <c r="I24" s="20" t="str">
        <f>IF(ISNUMBER(U24),IF(H24=P24,Q24,P24),"")</f>
        <v/>
      </c>
      <c r="J24" s="15">
        <v>11</v>
      </c>
      <c r="K24" s="17">
        <f t="shared" si="29"/>
        <v>43843</v>
      </c>
      <c r="L24" s="71"/>
      <c r="O24" s="88" t="s">
        <v>175</v>
      </c>
      <c r="P24" s="90"/>
      <c r="Q24" s="90"/>
      <c r="R24" s="174">
        <v>41661</v>
      </c>
      <c r="S24" s="175">
        <v>0.54166666666666663</v>
      </c>
      <c r="T24" s="176">
        <v>2</v>
      </c>
      <c r="U24" s="177"/>
      <c r="V24" s="178"/>
      <c r="W24" s="21" t="str">
        <f t="shared" ref="W24" si="32">IF(ISNUMBER(U24)*ISNUMBER(V24),IF(U24&gt;V24,ptv, IF(U24=V24,ptu,ptt)),"-")</f>
        <v>-</v>
      </c>
      <c r="X24" s="21" t="str">
        <f t="shared" ref="X24" si="33">IF(ISNUMBER(U24)*ISNUMBER(V24),IF(W24=ptv,ptt,IF(W24=ptu,ptu,ptv)),"-")</f>
        <v>-</v>
      </c>
    </row>
    <row r="25" spans="1:24" ht="14.4" x14ac:dyDescent="0.2">
      <c r="L25" s="71"/>
    </row>
  </sheetData>
  <sheetProtection sheet="1" objects="1" scenarios="1"/>
  <conditionalFormatting sqref="D17">
    <cfRule type="expression" dxfId="120" priority="4">
      <formula>D17=1</formula>
    </cfRule>
  </conditionalFormatting>
  <conditionalFormatting sqref="D16:D17">
    <cfRule type="expression" dxfId="119" priority="6">
      <formula>D16=1</formula>
    </cfRule>
  </conditionalFormatting>
  <conditionalFormatting sqref="D18">
    <cfRule type="expression" dxfId="118" priority="5">
      <formula>D18=1</formula>
    </cfRule>
  </conditionalFormatting>
  <conditionalFormatting sqref="D19">
    <cfRule type="expression" dxfId="117" priority="3">
      <formula>D19=1</formula>
    </cfRule>
  </conditionalFormatting>
  <conditionalFormatting sqref="D20">
    <cfRule type="expression" dxfId="116" priority="2">
      <formula>D20=1</formula>
    </cfRule>
  </conditionalFormatting>
  <conditionalFormatting sqref="D19">
    <cfRule type="expression" dxfId="115" priority="1">
      <formula>D19=1</formula>
    </cfRule>
  </conditionalFormatting>
  <conditionalFormatting sqref="B10:D12">
    <cfRule type="duplicateValues" dxfId="114" priority="65"/>
    <cfRule type="expression" dxfId="113" priority="66">
      <formula>AND(B10&lt;=$E$7,ISNUMBER(B10))</formula>
    </cfRule>
  </conditionalFormatting>
  <conditionalFormatting sqref="L3:L5">
    <cfRule type="duplicateValues" dxfId="112" priority="75"/>
  </conditionalFormatting>
  <conditionalFormatting sqref="M3:M5">
    <cfRule type="duplicateValues" dxfId="111" priority="76"/>
  </conditionalFormatting>
  <dataValidations count="1">
    <dataValidation type="list" allowBlank="1" showInputMessage="1" showErrorMessage="1" sqref="P22:Q22 P24:Q24" xr:uid="{59AC6342-AA9C-41E0-A878-82AD8FD69C5B}">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049B-7024-4F89-A077-CC2FDF0594B7}">
  <sheetPr codeName="grp04x1">
    <tabColor theme="6" tint="-0.249977111117893"/>
    <outlinePr showOutlineSymbols="0"/>
    <pageSetUpPr fitToPage="1"/>
  </sheetPr>
  <dimension ref="A1:X27"/>
  <sheetViews>
    <sheetView showGridLines="0" showRowColHeaders="0" showOutlineSymbols="0" zoomScaleNormal="100" zoomScaleSheetLayoutView="100" workbookViewId="0">
      <pane ySplit="16" topLeftCell="A17" activePane="bottomLeft" state="frozen"/>
      <selection activeCell="L43" sqref="L43"/>
      <selection pane="bottomLeft" activeCell="P17" sqref="P17"/>
    </sheetView>
  </sheetViews>
  <sheetFormatPr defaultColWidth="9" defaultRowHeight="12.6" outlineLevelRow="1" outlineLevelCol="1" x14ac:dyDescent="0.2"/>
  <cols>
    <col min="1" max="7" width="9"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6.269531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L1" t="s">
        <v>192</v>
      </c>
      <c r="O1"/>
      <c r="P1"/>
      <c r="Q1"/>
      <c r="R1"/>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c r="O2"/>
      <c r="P2"/>
      <c r="Q2"/>
      <c r="R2"/>
    </row>
    <row r="3" spans="1:24" hidden="1" outlineLevel="1" x14ac:dyDescent="0.2">
      <c r="A3" s="103">
        <v>1</v>
      </c>
      <c r="B3" s="103" t="str">
        <f t="shared" ref="B3:B6" si="0">INDEX(xTeams,A3,1)</f>
        <v>Assens</v>
      </c>
      <c r="C3" s="96">
        <f t="shared" ref="C3" ca="1" si="1">SUMIF(team1,teams,goals1)+SUMIF(team2,teams,goals2)</f>
        <v>5</v>
      </c>
      <c r="D3" s="96">
        <f t="shared" ref="D3" ca="1" si="2">SUMIF(team1,teams,goals2)+SUMIF(team2,teams,goals1)</f>
        <v>12</v>
      </c>
      <c r="E3" s="104">
        <f t="shared" ref="E3:E6" ca="1" si="3">SUMIFS(
   points1,team1,teams
) +
  SUMIFS(points2,team2,teams)</f>
        <v>3</v>
      </c>
      <c r="F3" s="96">
        <f t="shared" ref="F3:F6" ca="1" si="4">C3-D3</f>
        <v>-7</v>
      </c>
      <c r="G3" s="96">
        <f t="shared" ref="G3:G6" ca="1" si="5">COUNTIFS(team1,$B3,points1,"&gt;=0")+COUNTIFS(team2,$B3,points2,"&gt;=0")</f>
        <v>3</v>
      </c>
      <c r="H3" s="105">
        <f ca="1">IF(G3=0,1,0)</f>
        <v>0</v>
      </c>
      <c r="I3" s="105">
        <f ca="1">RANK($E3,$E$3:$E$6,0)</f>
        <v>3</v>
      </c>
      <c r="J3" s="98">
        <f ca="1">RANK($F3,$F$3:$F$6,0)/10</f>
        <v>0.4</v>
      </c>
      <c r="K3" s="99">
        <f ca="1">RANK($C3,$C$3:$C$6,0)/100</f>
        <v>0.04</v>
      </c>
      <c r="L3" s="99">
        <f ca="1">SUM(H3:K3)</f>
        <v>3.44</v>
      </c>
      <c r="M3" s="96">
        <f ca="1">RANK($L3,$L$3:$L$6,1) + COUNTIF($L$3:$L3,$L3)-1</f>
        <v>3</v>
      </c>
      <c r="O3"/>
      <c r="P3"/>
      <c r="Q3"/>
      <c r="R3"/>
    </row>
    <row r="4" spans="1:24" hidden="1" outlineLevel="1" x14ac:dyDescent="0.2">
      <c r="A4" s="103">
        <v>2</v>
      </c>
      <c r="B4" s="103" t="str">
        <f t="shared" si="0"/>
        <v>Bogense</v>
      </c>
      <c r="C4" s="96">
        <f t="shared" ref="C4:C6" ca="1" si="6">SUMIF(team1,teams,goals1)+SUMIF(team2,teams,goals2)</f>
        <v>13</v>
      </c>
      <c r="D4" s="96">
        <f t="shared" ref="D4:D6" ca="1" si="7">SUMIF(team1,teams,goals2)+SUMIF(team2,teams,goals1)</f>
        <v>7</v>
      </c>
      <c r="E4" s="104">
        <f t="shared" ca="1" si="3"/>
        <v>7</v>
      </c>
      <c r="F4" s="96">
        <f t="shared" ca="1" si="4"/>
        <v>6</v>
      </c>
      <c r="G4" s="96">
        <f t="shared" ca="1" si="5"/>
        <v>3</v>
      </c>
      <c r="H4" s="105">
        <f t="shared" ref="H4:H6" ca="1" si="8">IF(G4=0,1,0)</f>
        <v>0</v>
      </c>
      <c r="I4" s="105">
        <f ca="1">RANK($E4,$E$3:$E$6,0)</f>
        <v>1</v>
      </c>
      <c r="J4" s="98">
        <f t="shared" ref="J4:J6" ca="1" si="9">RANK($F4,$F$3:$F$6,0)/10</f>
        <v>0.2</v>
      </c>
      <c r="K4" s="99">
        <f ca="1">RANK($C4,$C$3:$C$6,0)/100</f>
        <v>0.01</v>
      </c>
      <c r="L4" s="99">
        <f t="shared" ref="L4:L6" ca="1" si="10">SUM(H4:K4)</f>
        <v>1.21</v>
      </c>
      <c r="M4" s="96">
        <f ca="1">RANK($L4,$L$3:$L$6,1) + COUNTIF($L$3:$L4,$L4)-1</f>
        <v>2</v>
      </c>
      <c r="O4"/>
      <c r="P4"/>
      <c r="Q4"/>
      <c r="R4"/>
    </row>
    <row r="5" spans="1:24" hidden="1" outlineLevel="1" x14ac:dyDescent="0.2">
      <c r="A5" s="103">
        <v>3</v>
      </c>
      <c r="B5" s="103" t="str">
        <f t="shared" si="0"/>
        <v>Christiansfelt</v>
      </c>
      <c r="C5" s="96">
        <f t="shared" ca="1" si="6"/>
        <v>8</v>
      </c>
      <c r="D5" s="96">
        <f t="shared" ca="1" si="7"/>
        <v>14</v>
      </c>
      <c r="E5" s="104">
        <f t="shared" ca="1" si="3"/>
        <v>0</v>
      </c>
      <c r="F5" s="96">
        <f t="shared" ca="1" si="4"/>
        <v>-6</v>
      </c>
      <c r="G5" s="96">
        <f t="shared" ca="1" si="5"/>
        <v>3</v>
      </c>
      <c r="H5" s="105">
        <f t="shared" ca="1" si="8"/>
        <v>0</v>
      </c>
      <c r="I5" s="105">
        <f ca="1">RANK($E5,$E$3:$E$6,0)</f>
        <v>4</v>
      </c>
      <c r="J5" s="98">
        <f t="shared" ca="1" si="9"/>
        <v>0.3</v>
      </c>
      <c r="K5" s="99">
        <f ca="1">RANK($C5,$C$3:$C$6,0)/100</f>
        <v>0.03</v>
      </c>
      <c r="L5" s="99">
        <f t="shared" ca="1" si="10"/>
        <v>4.33</v>
      </c>
      <c r="M5" s="96">
        <f ca="1">RANK($L5,$L$3:$L$6,1) + COUNTIF($L$3:$L5,$L5)-1</f>
        <v>4</v>
      </c>
      <c r="O5"/>
      <c r="P5"/>
      <c r="Q5"/>
      <c r="R5"/>
    </row>
    <row r="6" spans="1:24" hidden="1" outlineLevel="1" x14ac:dyDescent="0.2">
      <c r="A6" s="103">
        <v>4</v>
      </c>
      <c r="B6" s="103" t="str">
        <f t="shared" si="0"/>
        <v>Dragør</v>
      </c>
      <c r="C6" s="96">
        <f t="shared" ca="1" si="6"/>
        <v>9</v>
      </c>
      <c r="D6" s="96">
        <f t="shared" ca="1" si="7"/>
        <v>2</v>
      </c>
      <c r="E6" s="104">
        <f t="shared" ca="1" si="3"/>
        <v>7</v>
      </c>
      <c r="F6" s="96">
        <f t="shared" ca="1" si="4"/>
        <v>7</v>
      </c>
      <c r="G6" s="96">
        <f t="shared" ca="1" si="5"/>
        <v>3</v>
      </c>
      <c r="H6" s="105">
        <f t="shared" ca="1" si="8"/>
        <v>0</v>
      </c>
      <c r="I6" s="105">
        <f ca="1">RANK($E6,$E$3:$E$6,0)</f>
        <v>1</v>
      </c>
      <c r="J6" s="98">
        <f t="shared" ca="1" si="9"/>
        <v>0.1</v>
      </c>
      <c r="K6" s="99">
        <f ca="1">RANK($C6,$C$3:$C$6,0)/100</f>
        <v>0.02</v>
      </c>
      <c r="L6" s="99">
        <f t="shared" ca="1" si="10"/>
        <v>1.1200000000000001</v>
      </c>
      <c r="M6" s="96">
        <f ca="1">RANK($L6,$L$3:$L$6,1) + COUNTIF($L$3:$L6,$L6)-1</f>
        <v>1</v>
      </c>
      <c r="O6"/>
      <c r="P6"/>
      <c r="Q6"/>
      <c r="R6"/>
    </row>
    <row r="7" spans="1:24" ht="13.2" collapsed="1" thickBot="1" x14ac:dyDescent="0.25">
      <c r="O7"/>
      <c r="P7"/>
      <c r="Q7"/>
      <c r="R7"/>
    </row>
    <row r="8" spans="1:24" s="4" customFormat="1" ht="24" thickBot="1" x14ac:dyDescent="0.5">
      <c r="A8" s="42" t="s">
        <v>168</v>
      </c>
      <c r="B8" s="97">
        <v>4</v>
      </c>
      <c r="C8" s="72"/>
      <c r="D8" s="73" t="s">
        <v>65</v>
      </c>
      <c r="E8" s="97">
        <f>(B8/2)*(B8-1)</f>
        <v>6</v>
      </c>
      <c r="O8" s="75" t="str">
        <f>TurneringsNavn</f>
        <v>Forårsstævne</v>
      </c>
      <c r="P8" s="5"/>
      <c r="Q8" s="5"/>
      <c r="R8" s="5"/>
      <c r="S8" s="5"/>
      <c r="T8" s="5"/>
      <c r="U8" s="5"/>
      <c r="V8" s="5"/>
      <c r="W8" s="5"/>
      <c r="X8" s="5"/>
    </row>
    <row r="9" spans="1:24" ht="6.75" customHeight="1" x14ac:dyDescent="0.2">
      <c r="O9"/>
      <c r="P9"/>
      <c r="Q9"/>
      <c r="R9"/>
    </row>
    <row r="10" spans="1:24" ht="13.8" x14ac:dyDescent="0.25">
      <c r="B10" s="34" t="s">
        <v>66</v>
      </c>
      <c r="C10" s="34" t="s">
        <v>67</v>
      </c>
      <c r="D10" s="34" t="s">
        <v>68</v>
      </c>
      <c r="E10" s="34" t="s">
        <v>69</v>
      </c>
      <c r="F10" s="7" t="s">
        <v>2</v>
      </c>
      <c r="G10" s="6" t="s">
        <v>3</v>
      </c>
      <c r="H10" s="6" t="s">
        <v>4</v>
      </c>
      <c r="I10" s="6" t="s">
        <v>167</v>
      </c>
      <c r="O10" s="128" t="s">
        <v>198</v>
      </c>
      <c r="P10" s="129" t="s">
        <v>176</v>
      </c>
      <c r="Q10" s="129"/>
      <c r="R10" s="130" t="s">
        <v>5</v>
      </c>
      <c r="S10" s="128" t="s">
        <v>6</v>
      </c>
      <c r="T10" s="128" t="s">
        <v>7</v>
      </c>
      <c r="U10" s="128" t="s">
        <v>8</v>
      </c>
      <c r="V10" s="128" t="s">
        <v>9</v>
      </c>
      <c r="W10" s="128" t="s">
        <v>10</v>
      </c>
      <c r="X10" s="131" t="s">
        <v>177</v>
      </c>
    </row>
    <row r="11" spans="1:24" ht="17.399999999999999" x14ac:dyDescent="0.35">
      <c r="A11" s="6" t="s">
        <v>66</v>
      </c>
      <c r="B11" s="8"/>
      <c r="C11" s="9">
        <v>5</v>
      </c>
      <c r="D11" s="9"/>
      <c r="E11" s="9">
        <v>1</v>
      </c>
      <c r="F11" s="10" t="str">
        <f ca="1">IFERROR(CHOOSE((P11=H$26)*1+(P11=I$26)*2+(P11=H$24)*3,"Guld","Sølv","Bronze"),"")</f>
        <v/>
      </c>
      <c r="G11" s="11">
        <f ca="1">COUNTIF(P$17:P$22,$B3)</f>
        <v>2</v>
      </c>
      <c r="H11" s="11">
        <f ca="1">COUNTIF(Q$17:Q$22,$B3)</f>
        <v>1</v>
      </c>
      <c r="I11" s="11">
        <f ca="1">SUM(G11:H11)</f>
        <v>3</v>
      </c>
      <c r="O11" s="119">
        <v>1</v>
      </c>
      <c r="P11" s="120" t="str">
        <f ca="1" xml:space="preserve">  INDEX(teams,MATCH(rankNum,actRank,0))</f>
        <v>Dragør</v>
      </c>
      <c r="Q11" s="120"/>
      <c r="R11" s="127">
        <f t="shared" ref="R11:R14" ca="1" si="11">COUNTIFS(team1,teamName,points1,"&gt;=0")+COUNTIFS(team2,teamName,points2,"&gt;=0")</f>
        <v>3</v>
      </c>
      <c r="S11" s="143">
        <f t="shared" ref="S11:S14" ca="1" si="12">COUNTIFS(team1,teamName,points1,ptv)+COUNTIFS(team2,teamName,points2,ptv)</f>
        <v>2</v>
      </c>
      <c r="T11" s="121">
        <f t="shared" ref="T11:T14" ca="1" si="13">COUNTIFS(team1,teamName,points1,ptu)+COUNTIFS(team2,teamName,points2,ptu)</f>
        <v>1</v>
      </c>
      <c r="U11" s="121">
        <f t="shared" ref="U11:U14" ca="1" si="14">COUNTIFS(team1,teamName,points1,ptt)+COUNTIFS(team2,teamName,points2,ptt)</f>
        <v>0</v>
      </c>
      <c r="V11" s="143">
        <f t="shared" ref="V11:V14" ca="1" si="15">SUMIF(team1,teamName,goals1)+SUMIF(team2,teamName,goals2)</f>
        <v>9</v>
      </c>
      <c r="W11" s="121">
        <f t="shared" ref="W11:W14" ca="1" si="16">SUMIF(team1,teamName,goals2)+SUMIF(team2,teamName,goals1)</f>
        <v>2</v>
      </c>
      <c r="X11" s="144">
        <f t="shared" ref="X11:X14" ca="1" si="17">SUMIFS(points1,team1,teamName)+SUMIFS(points2,team2,teamName)</f>
        <v>7</v>
      </c>
    </row>
    <row r="12" spans="1:24" ht="17.399999999999999" x14ac:dyDescent="0.35">
      <c r="A12" s="6" t="s">
        <v>67</v>
      </c>
      <c r="B12" s="9"/>
      <c r="C12" s="8"/>
      <c r="D12" s="9">
        <v>2</v>
      </c>
      <c r="E12" s="9"/>
      <c r="F12" s="10" t="str">
        <f ca="1">IFERROR(CHOOSE((P12=H$26)*1+(P12=I$26)*2+(P12=H$24)*3,"Guld","Sølv","Bronze"),"")</f>
        <v/>
      </c>
      <c r="G12" s="11">
        <f t="shared" ref="G12:H12" ca="1" si="18">COUNTIF(P$17:P$22,$B4)</f>
        <v>1</v>
      </c>
      <c r="H12" s="11">
        <f t="shared" ca="1" si="18"/>
        <v>2</v>
      </c>
      <c r="I12" s="11">
        <f t="shared" ref="I12:I14" ca="1" si="19">SUM(G12:H12)</f>
        <v>3</v>
      </c>
      <c r="O12" s="119">
        <v>2</v>
      </c>
      <c r="P12" s="120" t="str">
        <f t="shared" ref="P12:P14" ca="1" si="20" xml:space="preserve">  INDEX(teams,MATCH(rankNum,actRank,0))</f>
        <v>Bogense</v>
      </c>
      <c r="Q12" s="120"/>
      <c r="R12" s="127">
        <f t="shared" ca="1" si="11"/>
        <v>3</v>
      </c>
      <c r="S12" s="143">
        <f t="shared" ca="1" si="12"/>
        <v>2</v>
      </c>
      <c r="T12" s="121">
        <f t="shared" ca="1" si="13"/>
        <v>1</v>
      </c>
      <c r="U12" s="121">
        <f t="shared" ca="1" si="14"/>
        <v>0</v>
      </c>
      <c r="V12" s="143">
        <f t="shared" ca="1" si="15"/>
        <v>13</v>
      </c>
      <c r="W12" s="121">
        <f t="shared" ca="1" si="16"/>
        <v>7</v>
      </c>
      <c r="X12" s="144">
        <f t="shared" ca="1" si="17"/>
        <v>7</v>
      </c>
    </row>
    <row r="13" spans="1:24" ht="17.399999999999999" x14ac:dyDescent="0.35">
      <c r="A13" s="6" t="s">
        <v>68</v>
      </c>
      <c r="B13" s="9">
        <v>3</v>
      </c>
      <c r="C13" s="9"/>
      <c r="D13" s="8"/>
      <c r="E13" s="9">
        <v>6</v>
      </c>
      <c r="F13" s="10" t="str">
        <f ca="1">IFERROR(CHOOSE((P13=H$26)*1+(P13=I$26)*2+(P13=H$24)*3,"Guld","Sølv","Bronze"),"")</f>
        <v/>
      </c>
      <c r="G13" s="11">
        <f t="shared" ref="G13:H13" ca="1" si="21">COUNTIF(P$17:P$22,$B5)</f>
        <v>2</v>
      </c>
      <c r="H13" s="11">
        <f t="shared" ca="1" si="21"/>
        <v>1</v>
      </c>
      <c r="I13" s="11">
        <f t="shared" ca="1" si="19"/>
        <v>3</v>
      </c>
      <c r="O13" s="119">
        <v>3</v>
      </c>
      <c r="P13" s="120" t="str">
        <f t="shared" ca="1" si="20"/>
        <v>Assens</v>
      </c>
      <c r="Q13" s="120"/>
      <c r="R13" s="127">
        <f t="shared" ca="1" si="11"/>
        <v>3</v>
      </c>
      <c r="S13" s="143">
        <f t="shared" ca="1" si="12"/>
        <v>1</v>
      </c>
      <c r="T13" s="121">
        <f t="shared" ca="1" si="13"/>
        <v>0</v>
      </c>
      <c r="U13" s="121">
        <f t="shared" ca="1" si="14"/>
        <v>2</v>
      </c>
      <c r="V13" s="143">
        <f t="shared" ca="1" si="15"/>
        <v>5</v>
      </c>
      <c r="W13" s="121">
        <f t="shared" ca="1" si="16"/>
        <v>12</v>
      </c>
      <c r="X13" s="144">
        <f t="shared" ca="1" si="17"/>
        <v>3</v>
      </c>
    </row>
    <row r="14" spans="1:24" ht="17.399999999999999" x14ac:dyDescent="0.35">
      <c r="A14" s="6" t="s">
        <v>69</v>
      </c>
      <c r="B14" s="9"/>
      <c r="C14" s="9">
        <v>4</v>
      </c>
      <c r="D14" s="9"/>
      <c r="E14" s="8"/>
      <c r="F14" s="10" t="str">
        <f ca="1">IFERROR(CHOOSE((P14=H$26)*1+(P14=I$26)*2+(P14=H$24)*3,"Guld","Sølv","Bronze"),"")</f>
        <v/>
      </c>
      <c r="G14" s="11">
        <f t="shared" ref="G14:H14" ca="1" si="22">COUNTIF(P$17:P$22,$B6)</f>
        <v>1</v>
      </c>
      <c r="H14" s="11">
        <f t="shared" ca="1" si="22"/>
        <v>2</v>
      </c>
      <c r="I14" s="11">
        <f t="shared" ca="1" si="19"/>
        <v>3</v>
      </c>
      <c r="O14" s="119">
        <v>4</v>
      </c>
      <c r="P14" s="120" t="str">
        <f t="shared" ca="1" si="20"/>
        <v>Christiansfelt</v>
      </c>
      <c r="Q14" s="120"/>
      <c r="R14" s="127">
        <f t="shared" ca="1" si="11"/>
        <v>3</v>
      </c>
      <c r="S14" s="143">
        <f t="shared" ca="1" si="12"/>
        <v>0</v>
      </c>
      <c r="T14" s="121">
        <f t="shared" ca="1" si="13"/>
        <v>0</v>
      </c>
      <c r="U14" s="121">
        <f t="shared" ca="1" si="14"/>
        <v>3</v>
      </c>
      <c r="V14" s="143">
        <f t="shared" ca="1" si="15"/>
        <v>8</v>
      </c>
      <c r="W14" s="121">
        <f t="shared" ca="1" si="16"/>
        <v>14</v>
      </c>
      <c r="X14" s="144">
        <f t="shared" ca="1" si="17"/>
        <v>0</v>
      </c>
    </row>
    <row r="15" spans="1:24" ht="12" customHeight="1" x14ac:dyDescent="0.2">
      <c r="O15"/>
      <c r="P15"/>
      <c r="Q15"/>
      <c r="R15"/>
    </row>
    <row r="16" spans="1:24" s="12" customFormat="1" ht="15" thickBot="1" x14ac:dyDescent="0.35">
      <c r="C16" s="44" t="s">
        <v>17</v>
      </c>
      <c r="D16" s="45" t="s">
        <v>18</v>
      </c>
      <c r="E16" s="61" t="s">
        <v>19</v>
      </c>
      <c r="F16" s="47" t="s">
        <v>20</v>
      </c>
      <c r="G16" s="47" t="s">
        <v>21</v>
      </c>
      <c r="H16" s="47" t="s">
        <v>22</v>
      </c>
      <c r="I16" s="47" t="s">
        <v>23</v>
      </c>
      <c r="J16" s="48" t="s">
        <v>24</v>
      </c>
      <c r="K16" s="49" t="s">
        <v>25</v>
      </c>
      <c r="L16" s="49"/>
      <c r="O16" s="140" t="s">
        <v>5</v>
      </c>
      <c r="P16" s="139" t="s">
        <v>26</v>
      </c>
      <c r="Q16" s="139" t="s">
        <v>27</v>
      </c>
      <c r="R16" s="179" t="s">
        <v>28</v>
      </c>
      <c r="S16" s="179" t="s">
        <v>29</v>
      </c>
      <c r="T16" s="179" t="s">
        <v>30</v>
      </c>
      <c r="U16" s="180" t="s">
        <v>31</v>
      </c>
      <c r="V16" s="180" t="s">
        <v>31</v>
      </c>
      <c r="W16" s="138" t="s">
        <v>32</v>
      </c>
      <c r="X16" s="138" t="s">
        <v>32</v>
      </c>
    </row>
    <row r="17" spans="1:24" ht="17.399999999999999" x14ac:dyDescent="0.35">
      <c r="A17" s="13"/>
      <c r="B17" s="14"/>
      <c r="C17" s="50" t="s">
        <v>106</v>
      </c>
      <c r="D17" s="51"/>
      <c r="E17" s="50">
        <v>1</v>
      </c>
      <c r="F17" s="52">
        <f t="shared" ref="F17:F22" si="23">SUMPRODUCT((HxA=$E17)*(COLUMN(HxA)))-COLUMN(HxA)+1</f>
        <v>5</v>
      </c>
      <c r="G17" s="52">
        <f t="shared" ref="G17:G22" si="24">SUMPRODUCT((HxA=$E17)*(ROW(HxA)))-ROW(HxA)+1</f>
        <v>2</v>
      </c>
      <c r="H17" s="53" t="str">
        <f>INDEX(HxA,G17,1)</f>
        <v>T_01</v>
      </c>
      <c r="I17" s="53" t="str">
        <f t="shared" ref="I17:I22" si="25">INDEX(HxA,1,F17)</f>
        <v>T_04</v>
      </c>
      <c r="J17" s="54"/>
      <c r="K17" s="55">
        <v>43832</v>
      </c>
      <c r="L17" s="91"/>
      <c r="O17" s="122">
        <v>1</v>
      </c>
      <c r="P17" s="122" t="str">
        <f t="shared" ref="P17:Q22" ca="1" si="26">INDIRECT(H17)</f>
        <v>Assens</v>
      </c>
      <c r="Q17" s="122" t="str">
        <f t="shared" ca="1" si="26"/>
        <v>Dragør</v>
      </c>
      <c r="R17" s="161">
        <v>43832</v>
      </c>
      <c r="S17" s="162" t="s">
        <v>33</v>
      </c>
      <c r="T17" s="163">
        <v>1</v>
      </c>
      <c r="U17" s="164">
        <v>0</v>
      </c>
      <c r="V17" s="165">
        <v>4</v>
      </c>
      <c r="W17" s="121">
        <f t="shared" ref="W17:W22" si="27">IF(ISNUMBER(U17)*ISNUMBER(V17),IF(U17&gt;V17,ptv, IF(U17=V17,ptu,ptt)),"-")</f>
        <v>0</v>
      </c>
      <c r="X17" s="121">
        <f t="shared" ref="X17:X22" si="28">IF(ISNUMBER(U17)*ISNUMBER(V17),IF(W17=ptv,ptt,IF(W17=ptu,ptu,ptv)),"-")</f>
        <v>3</v>
      </c>
    </row>
    <row r="18" spans="1:24" ht="18" thickBot="1" x14ac:dyDescent="0.4">
      <c r="A18" s="13"/>
      <c r="B18" s="14"/>
      <c r="C18" s="67" t="s">
        <v>95</v>
      </c>
      <c r="D18" s="66">
        <f>OR(H18=H17,H18=I17,I18=H17,I18=I17)*1</f>
        <v>0</v>
      </c>
      <c r="E18" s="67">
        <v>2</v>
      </c>
      <c r="F18" s="68">
        <f t="shared" si="23"/>
        <v>4</v>
      </c>
      <c r="G18" s="68">
        <f t="shared" si="24"/>
        <v>3</v>
      </c>
      <c r="H18" s="69" t="str">
        <f t="shared" ref="H18:H22" si="29">INDEX(HxA,G18,1)</f>
        <v>T_02</v>
      </c>
      <c r="I18" s="69" t="str">
        <f t="shared" si="25"/>
        <v>T_03</v>
      </c>
      <c r="J18" s="69">
        <v>0</v>
      </c>
      <c r="K18" s="70">
        <f>$K$17+J18</f>
        <v>43832</v>
      </c>
      <c r="L18" s="91"/>
      <c r="O18" s="124">
        <v>2</v>
      </c>
      <c r="P18" s="124" t="str">
        <f t="shared" ca="1" si="26"/>
        <v>Bogense</v>
      </c>
      <c r="Q18" s="124" t="str">
        <f t="shared" ca="1" si="26"/>
        <v>Christiansfelt</v>
      </c>
      <c r="R18" s="135">
        <v>43832</v>
      </c>
      <c r="S18" s="125" t="str">
        <f>IFERROR(S17+mMin,"-")</f>
        <v>-</v>
      </c>
      <c r="T18" s="149">
        <v>2</v>
      </c>
      <c r="U18" s="150">
        <v>6</v>
      </c>
      <c r="V18" s="151">
        <v>5</v>
      </c>
      <c r="W18" s="126">
        <f t="shared" si="27"/>
        <v>3</v>
      </c>
      <c r="X18" s="126">
        <f t="shared" si="28"/>
        <v>0</v>
      </c>
    </row>
    <row r="19" spans="1:24" ht="17.399999999999999" x14ac:dyDescent="0.35">
      <c r="A19" s="13"/>
      <c r="B19" s="14"/>
      <c r="C19" s="63" t="s">
        <v>111</v>
      </c>
      <c r="D19" s="62">
        <f t="shared" ref="D19:D22" si="30">OR(H19=H18,H19=I18,I19=H18,I19=I18)*1</f>
        <v>1</v>
      </c>
      <c r="E19" s="63">
        <v>3</v>
      </c>
      <c r="F19" s="51">
        <f t="shared" si="23"/>
        <v>2</v>
      </c>
      <c r="G19" s="51">
        <f t="shared" si="24"/>
        <v>4</v>
      </c>
      <c r="H19" s="64" t="str">
        <f t="shared" si="29"/>
        <v>T_03</v>
      </c>
      <c r="I19" s="64" t="str">
        <f t="shared" si="25"/>
        <v>T_01</v>
      </c>
      <c r="J19" s="64">
        <v>0</v>
      </c>
      <c r="K19" s="65">
        <f t="shared" ref="K19:K26" si="31">$K$17+J19</f>
        <v>43832</v>
      </c>
      <c r="L19" s="91"/>
      <c r="O19" s="160">
        <v>3</v>
      </c>
      <c r="P19" s="160" t="str">
        <f t="shared" ca="1" si="26"/>
        <v>Christiansfelt</v>
      </c>
      <c r="Q19" s="160" t="str">
        <f t="shared" ca="1" si="26"/>
        <v>Assens</v>
      </c>
      <c r="R19" s="161">
        <v>43832</v>
      </c>
      <c r="S19" s="162" t="s">
        <v>33</v>
      </c>
      <c r="T19" s="163">
        <v>1</v>
      </c>
      <c r="U19" s="164">
        <v>3</v>
      </c>
      <c r="V19" s="165">
        <v>5</v>
      </c>
      <c r="W19" s="166">
        <f t="shared" si="27"/>
        <v>0</v>
      </c>
      <c r="X19" s="166">
        <f t="shared" si="28"/>
        <v>3</v>
      </c>
    </row>
    <row r="20" spans="1:24" ht="18" thickBot="1" x14ac:dyDescent="0.4">
      <c r="A20" s="13"/>
      <c r="B20" s="14"/>
      <c r="C20" s="67" t="s">
        <v>112</v>
      </c>
      <c r="D20" s="66">
        <f t="shared" si="30"/>
        <v>0</v>
      </c>
      <c r="E20" s="67">
        <v>4</v>
      </c>
      <c r="F20" s="68">
        <f t="shared" si="23"/>
        <v>3</v>
      </c>
      <c r="G20" s="68">
        <f t="shared" si="24"/>
        <v>5</v>
      </c>
      <c r="H20" s="69" t="str">
        <f t="shared" si="29"/>
        <v>T_04</v>
      </c>
      <c r="I20" s="69" t="str">
        <f t="shared" si="25"/>
        <v>T_02</v>
      </c>
      <c r="J20" s="69">
        <v>1</v>
      </c>
      <c r="K20" s="70">
        <f t="shared" si="31"/>
        <v>43833</v>
      </c>
      <c r="L20" s="91"/>
      <c r="O20" s="124">
        <v>4</v>
      </c>
      <c r="P20" s="124" t="str">
        <f t="shared" ca="1" si="26"/>
        <v>Dragør</v>
      </c>
      <c r="Q20" s="124" t="str">
        <f t="shared" ca="1" si="26"/>
        <v>Bogense</v>
      </c>
      <c r="R20" s="135">
        <v>43833</v>
      </c>
      <c r="S20" s="125" t="str">
        <f>IFERROR(S19+mMin,"-")</f>
        <v>-</v>
      </c>
      <c r="T20" s="149">
        <v>2</v>
      </c>
      <c r="U20" s="150">
        <v>2</v>
      </c>
      <c r="V20" s="151">
        <v>2</v>
      </c>
      <c r="W20" s="126">
        <f t="shared" si="27"/>
        <v>1</v>
      </c>
      <c r="X20" s="126">
        <f t="shared" si="28"/>
        <v>1</v>
      </c>
    </row>
    <row r="21" spans="1:24" ht="17.399999999999999" x14ac:dyDescent="0.35">
      <c r="A21" s="13"/>
      <c r="B21" s="14"/>
      <c r="C21" s="63" t="s">
        <v>116</v>
      </c>
      <c r="D21" s="62">
        <f t="shared" si="30"/>
        <v>1</v>
      </c>
      <c r="E21" s="63">
        <v>5</v>
      </c>
      <c r="F21" s="51">
        <f t="shared" si="23"/>
        <v>3</v>
      </c>
      <c r="G21" s="51">
        <f t="shared" si="24"/>
        <v>2</v>
      </c>
      <c r="H21" s="64" t="str">
        <f t="shared" si="29"/>
        <v>T_01</v>
      </c>
      <c r="I21" s="64" t="str">
        <f t="shared" si="25"/>
        <v>T_02</v>
      </c>
      <c r="J21" s="64">
        <v>1</v>
      </c>
      <c r="K21" s="65">
        <f t="shared" si="31"/>
        <v>43833</v>
      </c>
      <c r="L21" s="91"/>
      <c r="O21" s="160">
        <v>5</v>
      </c>
      <c r="P21" s="160" t="str">
        <f t="shared" ca="1" si="26"/>
        <v>Assens</v>
      </c>
      <c r="Q21" s="160" t="str">
        <f t="shared" ca="1" si="26"/>
        <v>Bogense</v>
      </c>
      <c r="R21" s="161">
        <v>43833</v>
      </c>
      <c r="S21" s="162" t="s">
        <v>33</v>
      </c>
      <c r="T21" s="163">
        <v>1</v>
      </c>
      <c r="U21" s="164">
        <v>0</v>
      </c>
      <c r="V21" s="165">
        <v>5</v>
      </c>
      <c r="W21" s="166">
        <f t="shared" si="27"/>
        <v>0</v>
      </c>
      <c r="X21" s="166">
        <f t="shared" si="28"/>
        <v>3</v>
      </c>
    </row>
    <row r="22" spans="1:24" ht="18" thickBot="1" x14ac:dyDescent="0.4">
      <c r="A22" s="13"/>
      <c r="B22" s="14"/>
      <c r="C22" s="63" t="s">
        <v>90</v>
      </c>
      <c r="D22" s="62">
        <f t="shared" si="30"/>
        <v>0</v>
      </c>
      <c r="E22" s="63">
        <v>6</v>
      </c>
      <c r="F22" s="51">
        <f t="shared" si="23"/>
        <v>5</v>
      </c>
      <c r="G22" s="51">
        <f t="shared" si="24"/>
        <v>4</v>
      </c>
      <c r="H22" s="64" t="str">
        <f t="shared" si="29"/>
        <v>T_03</v>
      </c>
      <c r="I22" s="64" t="str">
        <f t="shared" si="25"/>
        <v>T_04</v>
      </c>
      <c r="J22" s="64">
        <v>1</v>
      </c>
      <c r="K22" s="65">
        <f t="shared" si="31"/>
        <v>43833</v>
      </c>
      <c r="L22" s="91"/>
      <c r="O22" s="124">
        <v>6</v>
      </c>
      <c r="P22" s="124" t="str">
        <f t="shared" ca="1" si="26"/>
        <v>Christiansfelt</v>
      </c>
      <c r="Q22" s="124" t="str">
        <f t="shared" ca="1" si="26"/>
        <v>Dragør</v>
      </c>
      <c r="R22" s="135">
        <v>43833</v>
      </c>
      <c r="S22" s="125" t="str">
        <f>IFERROR(S21+mMin,"-")</f>
        <v>-</v>
      </c>
      <c r="T22" s="149">
        <v>2</v>
      </c>
      <c r="U22" s="150">
        <v>0</v>
      </c>
      <c r="V22" s="151">
        <v>3</v>
      </c>
      <c r="W22" s="126">
        <f t="shared" si="27"/>
        <v>0</v>
      </c>
      <c r="X22" s="126">
        <f t="shared" si="28"/>
        <v>3</v>
      </c>
    </row>
    <row r="23" spans="1:24" ht="18" thickBot="1" x14ac:dyDescent="0.4">
      <c r="H23" s="19" t="s">
        <v>34</v>
      </c>
      <c r="I23" s="19" t="s">
        <v>35</v>
      </c>
      <c r="J23" s="15"/>
      <c r="K23" s="17"/>
      <c r="L23" s="91"/>
      <c r="P23" s="92"/>
      <c r="Q23" s="92"/>
      <c r="R23" s="92"/>
      <c r="S23" s="5"/>
      <c r="T23" s="5"/>
      <c r="U23" s="18"/>
      <c r="V23" s="40"/>
    </row>
    <row r="24" spans="1:24" ht="18" thickBot="1" x14ac:dyDescent="0.4">
      <c r="H24" s="20" t="str">
        <f>IF(ISNUMBER(U24),IF(U24&gt;V24,P24,Q24),"")</f>
        <v/>
      </c>
      <c r="I24" s="20" t="str">
        <f>IF(ISNUMBER(U24),IF(H24=P24,Q24,P24),"")</f>
        <v/>
      </c>
      <c r="J24" s="15">
        <v>10</v>
      </c>
      <c r="K24" s="17">
        <f t="shared" si="31"/>
        <v>43842</v>
      </c>
      <c r="L24" s="91"/>
      <c r="O24" s="89" t="s">
        <v>64</v>
      </c>
      <c r="P24" s="90"/>
      <c r="Q24" s="90"/>
      <c r="R24" s="174">
        <v>43750</v>
      </c>
      <c r="S24" s="175">
        <v>0.54166666666666663</v>
      </c>
      <c r="T24" s="176">
        <v>2</v>
      </c>
      <c r="U24" s="177"/>
      <c r="V24" s="178"/>
      <c r="W24" s="21" t="str">
        <f t="shared" ref="W24" si="32">IF(ISNUMBER(U24)*ISNUMBER(V24),IF(U24&gt;V24,ptv, IF(U24=V24,ptu,ptt)),"-")</f>
        <v>-</v>
      </c>
      <c r="X24" s="21" t="str">
        <f t="shared" ref="X24" si="33">IF(ISNUMBER(U24)*ISNUMBER(V24),IF(W24=ptv,ptt,IF(W24=ptu,ptu,ptv)),"-")</f>
        <v>-</v>
      </c>
    </row>
    <row r="25" spans="1:24" ht="15" thickBot="1" x14ac:dyDescent="0.25">
      <c r="H25" s="19" t="s">
        <v>36</v>
      </c>
      <c r="I25" s="19" t="s">
        <v>37</v>
      </c>
      <c r="J25" s="15"/>
      <c r="K25" s="17"/>
      <c r="L25" s="91"/>
      <c r="P25" s="92"/>
      <c r="Q25" s="92"/>
      <c r="R25" s="92"/>
      <c r="S25" s="5"/>
      <c r="T25" s="5"/>
      <c r="U25" s="5"/>
      <c r="V25" s="94"/>
    </row>
    <row r="26" spans="1:24" ht="18" thickBot="1" x14ac:dyDescent="0.4">
      <c r="H26" s="20" t="str">
        <f>IF(ISNUMBER(U26),IF(U26&gt;V26,P26,Q26),"")</f>
        <v/>
      </c>
      <c r="I26" s="20" t="str">
        <f>IF(ISNUMBER(U26),IF(H26=P26,Q26,P26),"")</f>
        <v/>
      </c>
      <c r="J26" s="15">
        <v>11</v>
      </c>
      <c r="K26" s="17">
        <f t="shared" si="31"/>
        <v>43843</v>
      </c>
      <c r="L26" s="91"/>
      <c r="O26" s="88" t="s">
        <v>175</v>
      </c>
      <c r="P26" s="90"/>
      <c r="Q26" s="90"/>
      <c r="R26" s="174">
        <v>43751</v>
      </c>
      <c r="S26" s="175">
        <v>0.54166666666666663</v>
      </c>
      <c r="T26" s="176">
        <v>2</v>
      </c>
      <c r="U26" s="177"/>
      <c r="V26" s="178"/>
      <c r="W26" s="21" t="str">
        <f t="shared" ref="W26" si="34">IF(ISNUMBER(U26)*ISNUMBER(V26),IF(U26&gt;V26,ptv, IF(U26=V26,ptu,ptt)),"-")</f>
        <v>-</v>
      </c>
      <c r="X26" s="21" t="str">
        <f t="shared" ref="X26" si="35">IF(ISNUMBER(U26)*ISNUMBER(V26),IF(W26=ptv,ptt,IF(W26=ptu,ptu,ptv)),"-")</f>
        <v>-</v>
      </c>
    </row>
    <row r="27" spans="1:24" ht="14.4" x14ac:dyDescent="0.2">
      <c r="L27" s="91"/>
    </row>
  </sheetData>
  <sheetProtection sheet="1" objects="1" scenarios="1"/>
  <conditionalFormatting sqref="D18:D19">
    <cfRule type="expression" dxfId="110" priority="5">
      <formula>D18=1</formula>
    </cfRule>
  </conditionalFormatting>
  <conditionalFormatting sqref="D20:D22">
    <cfRule type="expression" dxfId="109" priority="4">
      <formula>D20=1</formula>
    </cfRule>
  </conditionalFormatting>
  <conditionalFormatting sqref="D19">
    <cfRule type="expression" dxfId="108" priority="1">
      <formula>D19=1</formula>
    </cfRule>
  </conditionalFormatting>
  <conditionalFormatting sqref="B11:E14">
    <cfRule type="duplicateValues" dxfId="107" priority="34"/>
    <cfRule type="expression" dxfId="106" priority="35">
      <formula>AND(B11&lt;=$E$8,ISNUMBER(B11))</formula>
    </cfRule>
  </conditionalFormatting>
  <conditionalFormatting sqref="L3:L6">
    <cfRule type="duplicateValues" dxfId="105" priority="36"/>
  </conditionalFormatting>
  <conditionalFormatting sqref="M3:M6">
    <cfRule type="duplicateValues" dxfId="104" priority="37"/>
  </conditionalFormatting>
  <dataValidations disablePrompts="1" count="1">
    <dataValidation type="list" allowBlank="1" showInputMessage="1" showErrorMessage="1" sqref="P24:Q24 P26:Q26" xr:uid="{E303BF67-B625-4CBB-B7A4-EBD0A3DFCB5A}">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AFC5-7CE3-4056-9558-DFF8EC43195E}">
  <sheetPr codeName="grp04x2">
    <tabColor theme="6" tint="-0.249977111117893"/>
    <outlinePr showOutlineSymbols="0"/>
    <pageSetUpPr fitToPage="1"/>
  </sheetPr>
  <dimension ref="A1:X33"/>
  <sheetViews>
    <sheetView showGridLines="0" showRowColHeaders="0" showOutlineSymbols="0" zoomScaleNormal="100" zoomScaleSheetLayoutView="100" workbookViewId="0">
      <pane ySplit="16" topLeftCell="A17" activePane="bottomLeft" state="frozen"/>
      <selection activeCell="L43" sqref="L43"/>
      <selection pane="bottomLeft" activeCell="P17" sqref="P17"/>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6" si="0">INDEX(xTeams,A3,1)</f>
        <v>Assens</v>
      </c>
      <c r="C3" s="96">
        <f t="shared" ref="C3" ca="1" si="1">SUMIF(team1,teams,goals1)+SUMIF(team2,teams,goals2)</f>
        <v>22</v>
      </c>
      <c r="D3" s="96">
        <f t="shared" ref="D3" ca="1" si="2">SUMIF(team1,teams,goals2)+SUMIF(team2,teams,goals1)</f>
        <v>15</v>
      </c>
      <c r="E3" s="104">
        <f t="shared" ref="E3:E6" ca="1" si="3">SUMIFS(
   points1,team1,teams
) +
  SUMIFS(points2,team2,teams)</f>
        <v>12</v>
      </c>
      <c r="F3" s="96">
        <f t="shared" ref="F3:F6" ca="1" si="4">C3-D3</f>
        <v>7</v>
      </c>
      <c r="G3" s="96">
        <f t="shared" ref="G3:G6" ca="1" si="5">COUNTIFS(team1,$B3,points1,"&gt;=0")+COUNTIFS(team2,$B3,points2,"&gt;=0")</f>
        <v>6</v>
      </c>
      <c r="H3" s="105">
        <f ca="1">IF(G3=0,1,0)</f>
        <v>0</v>
      </c>
      <c r="I3" s="105">
        <f ca="1">RANK($E3,$E$3:$E$6,0)</f>
        <v>1</v>
      </c>
      <c r="J3" s="98">
        <f ca="1">RANK($F3,$F$3:$F$6,0)/10</f>
        <v>0.1</v>
      </c>
      <c r="K3" s="99">
        <f ca="1">RANK($C3,$C$3:$C$6,0)/100</f>
        <v>0.01</v>
      </c>
      <c r="L3" s="99">
        <f ca="1">SUM(H3:K3)</f>
        <v>1.1100000000000001</v>
      </c>
      <c r="M3" s="96">
        <f ca="1">RANK($L3,$L$3:$L$6,1) + COUNTIF($L$3:$L3,$L3)-1</f>
        <v>1</v>
      </c>
    </row>
    <row r="4" spans="1:24" hidden="1" outlineLevel="1" x14ac:dyDescent="0.2">
      <c r="A4" s="103">
        <v>2</v>
      </c>
      <c r="B4" s="103" t="str">
        <f t="shared" si="0"/>
        <v>Bogense</v>
      </c>
      <c r="C4" s="96">
        <f t="shared" ref="C4:C6" ca="1" si="6">SUMIF(team1,teams,goals1)+SUMIF(team2,teams,goals2)</f>
        <v>17</v>
      </c>
      <c r="D4" s="96">
        <f t="shared" ref="D4:D6" ca="1" si="7">SUMIF(team1,teams,goals2)+SUMIF(team2,teams,goals1)</f>
        <v>27</v>
      </c>
      <c r="E4" s="104">
        <f t="shared" ca="1" si="3"/>
        <v>2</v>
      </c>
      <c r="F4" s="96">
        <f t="shared" ca="1" si="4"/>
        <v>-10</v>
      </c>
      <c r="G4" s="96">
        <f t="shared" ca="1" si="5"/>
        <v>6</v>
      </c>
      <c r="H4" s="105">
        <f t="shared" ref="H4:H6" ca="1" si="8">IF(G4=0,1,0)</f>
        <v>0</v>
      </c>
      <c r="I4" s="105">
        <f ca="1">RANK($E4,$E$3:$E$6,0)</f>
        <v>4</v>
      </c>
      <c r="J4" s="98">
        <f ca="1">RANK($F4,$F$3:$F$6,0)/10</f>
        <v>0.4</v>
      </c>
      <c r="K4" s="99">
        <f ca="1">RANK($C4,$C$3:$C$6,0)/100</f>
        <v>0.03</v>
      </c>
      <c r="L4" s="99">
        <f t="shared" ref="L4:L6" ca="1" si="9">SUM(H4:K4)</f>
        <v>4.4300000000000006</v>
      </c>
      <c r="M4" s="96">
        <f ca="1">RANK($L4,$L$3:$L$6,1) + COUNTIF($L$3:$L4,$L4)-1</f>
        <v>4</v>
      </c>
    </row>
    <row r="5" spans="1:24" hidden="1" outlineLevel="1" x14ac:dyDescent="0.2">
      <c r="A5" s="103">
        <v>3</v>
      </c>
      <c r="B5" s="103" t="str">
        <f t="shared" si="0"/>
        <v>Christiansfelt</v>
      </c>
      <c r="C5" s="96">
        <f t="shared" ca="1" si="6"/>
        <v>22</v>
      </c>
      <c r="D5" s="96">
        <f t="shared" ca="1" si="7"/>
        <v>21</v>
      </c>
      <c r="E5" s="104">
        <f t="shared" ca="1" si="3"/>
        <v>10</v>
      </c>
      <c r="F5" s="96">
        <f t="shared" ca="1" si="4"/>
        <v>1</v>
      </c>
      <c r="G5" s="96">
        <f t="shared" ca="1" si="5"/>
        <v>6</v>
      </c>
      <c r="H5" s="105">
        <f t="shared" ca="1" si="8"/>
        <v>0</v>
      </c>
      <c r="I5" s="105">
        <f ca="1">RANK($E5,$E$3:$E$6,0)</f>
        <v>2</v>
      </c>
      <c r="J5" s="98">
        <f ca="1">RANK($F5,$F$3:$F$6,0)/10</f>
        <v>0.3</v>
      </c>
      <c r="K5" s="99">
        <f ca="1">RANK($C5,$C$3:$C$6,0)/100</f>
        <v>0.01</v>
      </c>
      <c r="L5" s="99">
        <f t="shared" ca="1" si="9"/>
        <v>2.3099999999999996</v>
      </c>
      <c r="M5" s="96">
        <f ca="1">RANK($L5,$L$3:$L$6,1) + COUNTIF($L$3:$L5,$L5)-1</f>
        <v>3</v>
      </c>
    </row>
    <row r="6" spans="1:24" hidden="1" outlineLevel="1" x14ac:dyDescent="0.2">
      <c r="A6" s="103">
        <v>4</v>
      </c>
      <c r="B6" s="103" t="str">
        <f t="shared" si="0"/>
        <v>Dragør</v>
      </c>
      <c r="C6" s="96">
        <f t="shared" ca="1" si="6"/>
        <v>13</v>
      </c>
      <c r="D6" s="96">
        <f t="shared" ca="1" si="7"/>
        <v>11</v>
      </c>
      <c r="E6" s="104">
        <f t="shared" ca="1" si="3"/>
        <v>10</v>
      </c>
      <c r="F6" s="96">
        <f t="shared" ca="1" si="4"/>
        <v>2</v>
      </c>
      <c r="G6" s="96">
        <f t="shared" ca="1" si="5"/>
        <v>6</v>
      </c>
      <c r="H6" s="105">
        <f t="shared" ca="1" si="8"/>
        <v>0</v>
      </c>
      <c r="I6" s="105">
        <f ca="1">RANK($E6,$E$3:$E$6,0)</f>
        <v>2</v>
      </c>
      <c r="J6" s="98">
        <f ca="1">RANK($F6,$F$3:$F$6,0)/10</f>
        <v>0.2</v>
      </c>
      <c r="K6" s="99">
        <f ca="1">RANK($C6,$C$3:$C$6,0)/100</f>
        <v>0.04</v>
      </c>
      <c r="L6" s="99">
        <f t="shared" ca="1" si="9"/>
        <v>2.2400000000000002</v>
      </c>
      <c r="M6" s="96">
        <f ca="1">RANK($L6,$L$3:$L$6,1) + COUNTIF($L$3:$L6,$L6)-1</f>
        <v>2</v>
      </c>
    </row>
    <row r="7" spans="1:24" ht="13.2" collapsed="1" thickBot="1" x14ac:dyDescent="0.25">
      <c r="O7"/>
      <c r="P7"/>
      <c r="Q7"/>
      <c r="R7"/>
    </row>
    <row r="8" spans="1:24" s="4" customFormat="1" ht="24" thickBot="1" x14ac:dyDescent="0.5">
      <c r="A8" s="42" t="s">
        <v>168</v>
      </c>
      <c r="B8" s="97">
        <v>4</v>
      </c>
      <c r="C8" s="72"/>
      <c r="D8" s="73" t="s">
        <v>65</v>
      </c>
      <c r="E8" s="97">
        <f>(B8/2)*(B8-1)</f>
        <v>6</v>
      </c>
      <c r="O8" s="75" t="str">
        <f>TurneringsNavn</f>
        <v>Forårsstævne</v>
      </c>
      <c r="P8" s="5"/>
      <c r="Q8" s="5"/>
      <c r="R8" s="5"/>
      <c r="S8" s="5"/>
      <c r="T8" s="5"/>
      <c r="U8" s="5"/>
      <c r="V8" s="5"/>
      <c r="W8" s="5"/>
      <c r="X8" s="5"/>
    </row>
    <row r="9" spans="1:24" ht="6.75" customHeight="1" x14ac:dyDescent="0.2">
      <c r="O9"/>
      <c r="P9"/>
      <c r="Q9"/>
      <c r="R9"/>
    </row>
    <row r="10" spans="1:24" ht="13.8" x14ac:dyDescent="0.25">
      <c r="B10" s="6" t="s">
        <v>66</v>
      </c>
      <c r="C10" s="6" t="s">
        <v>67</v>
      </c>
      <c r="D10" s="6" t="s">
        <v>68</v>
      </c>
      <c r="E10" s="6" t="s">
        <v>69</v>
      </c>
      <c r="F10" s="7" t="s">
        <v>2</v>
      </c>
      <c r="G10" s="6" t="s">
        <v>3</v>
      </c>
      <c r="H10" s="6" t="s">
        <v>4</v>
      </c>
      <c r="I10" s="6" t="s">
        <v>167</v>
      </c>
      <c r="L10" s="6"/>
      <c r="M10" s="6"/>
      <c r="O10" s="128" t="s">
        <v>198</v>
      </c>
      <c r="P10" s="129" t="s">
        <v>176</v>
      </c>
      <c r="Q10" s="129"/>
      <c r="R10" s="130" t="s">
        <v>5</v>
      </c>
      <c r="S10" s="128" t="s">
        <v>6</v>
      </c>
      <c r="T10" s="128" t="s">
        <v>7</v>
      </c>
      <c r="U10" s="128" t="s">
        <v>8</v>
      </c>
      <c r="V10" s="128" t="s">
        <v>9</v>
      </c>
      <c r="W10" s="128" t="s">
        <v>10</v>
      </c>
      <c r="X10" s="131" t="s">
        <v>177</v>
      </c>
    </row>
    <row r="11" spans="1:24" ht="17.399999999999999" x14ac:dyDescent="0.35">
      <c r="A11" s="6" t="s">
        <v>66</v>
      </c>
      <c r="B11" s="8"/>
      <c r="C11" s="9">
        <v>5</v>
      </c>
      <c r="D11" s="9">
        <v>9</v>
      </c>
      <c r="E11" s="9">
        <v>1</v>
      </c>
      <c r="F11" s="10" t="str">
        <f ca="1">IFERROR(CHOOSE((P11=H$32)*1+(P11=I$32)*2+(P11=H$30)*3,"Guld","Sølv","Bronze"),"")</f>
        <v/>
      </c>
      <c r="G11" s="11">
        <f ca="1">COUNTIF(P$17:P$28,$B3)</f>
        <v>3</v>
      </c>
      <c r="H11" s="11">
        <f ca="1">COUNTIF(Q$17:Q$28,$B3)</f>
        <v>3</v>
      </c>
      <c r="I11" s="11">
        <f ca="1">G11+H11</f>
        <v>6</v>
      </c>
      <c r="L11" s="11"/>
      <c r="M11" s="11"/>
      <c r="O11" s="119">
        <v>1</v>
      </c>
      <c r="P11" s="120" t="str">
        <f ca="1" xml:space="preserve">  INDEX(teams,MATCH(rankNum,actRank,0))</f>
        <v>Assens</v>
      </c>
      <c r="Q11" s="120"/>
      <c r="R11" s="127">
        <f t="shared" ref="R11:R14" ca="1" si="10">COUNTIFS(team1,teamName,points1,"&gt;=0")+COUNTIFS(team2,teamName,points2,"&gt;=0")</f>
        <v>6</v>
      </c>
      <c r="S11" s="143">
        <f t="shared" ref="S11:S14" ca="1" si="11">COUNTIFS(team1,teamName,points1,ptv)+COUNTIFS(team2,teamName,points2,ptv)</f>
        <v>4</v>
      </c>
      <c r="T11" s="121">
        <f t="shared" ref="T11:T14" ca="1" si="12">COUNTIFS(team1,teamName,points1,ptu)+COUNTIFS(team2,teamName,points2,ptu)</f>
        <v>0</v>
      </c>
      <c r="U11" s="121">
        <f t="shared" ref="U11:U14" ca="1" si="13">COUNTIFS(team1,teamName,points1,ptt)+COUNTIFS(team2,teamName,points2,ptt)</f>
        <v>2</v>
      </c>
      <c r="V11" s="143">
        <f t="shared" ref="V11:V14" ca="1" si="14">SUMIF(team1,teamName,goals1)+SUMIF(team2,teamName,goals2)</f>
        <v>22</v>
      </c>
      <c r="W11" s="121">
        <f t="shared" ref="W11:W14" ca="1" si="15">SUMIF(team1,teamName,goals2)+SUMIF(team2,teamName,goals1)</f>
        <v>15</v>
      </c>
      <c r="X11" s="144">
        <f t="shared" ref="X11:X14" ca="1" si="16">SUMIFS(points1,team1,teamName)+SUMIFS(points2,team2,teamName)</f>
        <v>12</v>
      </c>
    </row>
    <row r="12" spans="1:24" ht="17.399999999999999" x14ac:dyDescent="0.35">
      <c r="A12" s="6" t="s">
        <v>67</v>
      </c>
      <c r="B12" s="9">
        <v>11</v>
      </c>
      <c r="C12" s="8"/>
      <c r="D12" s="9">
        <v>2</v>
      </c>
      <c r="E12" s="9">
        <v>10</v>
      </c>
      <c r="F12" s="10" t="str">
        <f ca="1">IFERROR(CHOOSE((P12=H$32)*1+(P12=I$32)*2+(P12=H$30)*3,"Guld","Sølv","Bronze"),"")</f>
        <v/>
      </c>
      <c r="G12" s="11">
        <f t="shared" ref="G12:G14" ca="1" si="17">COUNTIF(P$17:P$28,$B4)</f>
        <v>3</v>
      </c>
      <c r="H12" s="11">
        <f t="shared" ref="H12:H14" ca="1" si="18">COUNTIF(Q$17:Q$28,$B4)</f>
        <v>3</v>
      </c>
      <c r="I12" s="11">
        <f t="shared" ref="I12:I14" ca="1" si="19">G12+H12</f>
        <v>6</v>
      </c>
      <c r="L12" s="11"/>
      <c r="M12" s="11"/>
      <c r="O12" s="119">
        <v>2</v>
      </c>
      <c r="P12" s="120" t="str">
        <f t="shared" ref="P12:P14" ca="1" si="20" xml:space="preserve">  INDEX(teams,MATCH(rankNum,actRank,0))</f>
        <v>Dragør</v>
      </c>
      <c r="Q12" s="120"/>
      <c r="R12" s="127">
        <f t="shared" ca="1" si="10"/>
        <v>6</v>
      </c>
      <c r="S12" s="143">
        <f t="shared" ca="1" si="11"/>
        <v>3</v>
      </c>
      <c r="T12" s="121">
        <f t="shared" ca="1" si="12"/>
        <v>1</v>
      </c>
      <c r="U12" s="121">
        <f t="shared" ca="1" si="13"/>
        <v>2</v>
      </c>
      <c r="V12" s="143">
        <f t="shared" ca="1" si="14"/>
        <v>13</v>
      </c>
      <c r="W12" s="121">
        <f t="shared" ca="1" si="15"/>
        <v>11</v>
      </c>
      <c r="X12" s="144">
        <f t="shared" ca="1" si="16"/>
        <v>10</v>
      </c>
    </row>
    <row r="13" spans="1:24" ht="17.399999999999999" x14ac:dyDescent="0.35">
      <c r="A13" s="6" t="s">
        <v>68</v>
      </c>
      <c r="B13" s="9">
        <v>3</v>
      </c>
      <c r="C13" s="9">
        <v>8</v>
      </c>
      <c r="D13" s="8"/>
      <c r="E13" s="9">
        <v>6</v>
      </c>
      <c r="F13" s="10" t="str">
        <f ca="1">IFERROR(CHOOSE((P13=H$32)*1+(P13=I$32)*2+(P13=H$30)*3,"Guld","Sølv","Bronze"),"")</f>
        <v/>
      </c>
      <c r="G13" s="11">
        <f t="shared" ca="1" si="17"/>
        <v>3</v>
      </c>
      <c r="H13" s="11">
        <f t="shared" ca="1" si="18"/>
        <v>3</v>
      </c>
      <c r="I13" s="11">
        <f t="shared" ca="1" si="19"/>
        <v>6</v>
      </c>
      <c r="L13" s="11"/>
      <c r="M13" s="11"/>
      <c r="O13" s="119">
        <v>3</v>
      </c>
      <c r="P13" s="120" t="str">
        <f t="shared" ca="1" si="20"/>
        <v>Christiansfelt</v>
      </c>
      <c r="Q13" s="120"/>
      <c r="R13" s="127">
        <f t="shared" ca="1" si="10"/>
        <v>6</v>
      </c>
      <c r="S13" s="143">
        <f t="shared" ca="1" si="11"/>
        <v>3</v>
      </c>
      <c r="T13" s="121">
        <f t="shared" ca="1" si="12"/>
        <v>1</v>
      </c>
      <c r="U13" s="121">
        <f t="shared" ca="1" si="13"/>
        <v>2</v>
      </c>
      <c r="V13" s="143">
        <f t="shared" ca="1" si="14"/>
        <v>22</v>
      </c>
      <c r="W13" s="121">
        <f t="shared" ca="1" si="15"/>
        <v>21</v>
      </c>
      <c r="X13" s="144">
        <f t="shared" ca="1" si="16"/>
        <v>10</v>
      </c>
    </row>
    <row r="14" spans="1:24" ht="17.399999999999999" x14ac:dyDescent="0.35">
      <c r="A14" s="6" t="s">
        <v>69</v>
      </c>
      <c r="B14" s="9">
        <v>7</v>
      </c>
      <c r="C14" s="9">
        <v>4</v>
      </c>
      <c r="D14" s="9">
        <v>12</v>
      </c>
      <c r="E14" s="8"/>
      <c r="F14" s="10" t="str">
        <f ca="1">IFERROR(CHOOSE((P14=H$32)*1+(P14=I$32)*2+(P14=H$30)*3,"Guld","Sølv","Bronze"),"")</f>
        <v/>
      </c>
      <c r="G14" s="11">
        <f t="shared" ca="1" si="17"/>
        <v>3</v>
      </c>
      <c r="H14" s="11">
        <f t="shared" ca="1" si="18"/>
        <v>3</v>
      </c>
      <c r="I14" s="11">
        <f t="shared" ca="1" si="19"/>
        <v>6</v>
      </c>
      <c r="L14" s="11"/>
      <c r="M14" s="11"/>
      <c r="O14" s="119">
        <v>4</v>
      </c>
      <c r="P14" s="120" t="str">
        <f t="shared" ca="1" si="20"/>
        <v>Bogense</v>
      </c>
      <c r="Q14" s="120"/>
      <c r="R14" s="127">
        <f t="shared" ca="1" si="10"/>
        <v>6</v>
      </c>
      <c r="S14" s="143">
        <f t="shared" ca="1" si="11"/>
        <v>0</v>
      </c>
      <c r="T14" s="121">
        <f t="shared" ca="1" si="12"/>
        <v>2</v>
      </c>
      <c r="U14" s="121">
        <f t="shared" ca="1" si="13"/>
        <v>4</v>
      </c>
      <c r="V14" s="143">
        <f t="shared" ca="1" si="14"/>
        <v>17</v>
      </c>
      <c r="W14" s="121">
        <f t="shared" ca="1" si="15"/>
        <v>27</v>
      </c>
      <c r="X14" s="144">
        <f t="shared" ca="1" si="16"/>
        <v>2</v>
      </c>
    </row>
    <row r="15" spans="1:24" x14ac:dyDescent="0.2">
      <c r="O15"/>
      <c r="P15"/>
      <c r="Q15"/>
      <c r="R15"/>
    </row>
    <row r="16" spans="1:24" s="12" customFormat="1" ht="15" thickBot="1" x14ac:dyDescent="0.35">
      <c r="C16" s="44" t="s">
        <v>17</v>
      </c>
      <c r="D16" s="45" t="s">
        <v>18</v>
      </c>
      <c r="E16" s="61" t="s">
        <v>19</v>
      </c>
      <c r="F16" s="47" t="s">
        <v>20</v>
      </c>
      <c r="G16" s="47" t="s">
        <v>21</v>
      </c>
      <c r="H16" s="47" t="s">
        <v>22</v>
      </c>
      <c r="I16" s="47" t="s">
        <v>23</v>
      </c>
      <c r="J16" s="48" t="s">
        <v>24</v>
      </c>
      <c r="K16" s="49" t="s">
        <v>25</v>
      </c>
      <c r="L16" s="49"/>
      <c r="O16" s="140" t="s">
        <v>5</v>
      </c>
      <c r="P16" s="139" t="s">
        <v>26</v>
      </c>
      <c r="Q16" s="139" t="s">
        <v>27</v>
      </c>
      <c r="R16" s="179" t="s">
        <v>28</v>
      </c>
      <c r="S16" s="179" t="s">
        <v>29</v>
      </c>
      <c r="T16" s="179" t="s">
        <v>30</v>
      </c>
      <c r="U16" s="180" t="s">
        <v>31</v>
      </c>
      <c r="V16" s="180" t="s">
        <v>31</v>
      </c>
      <c r="W16" s="138" t="s">
        <v>32</v>
      </c>
      <c r="X16" s="138" t="s">
        <v>32</v>
      </c>
    </row>
    <row r="17" spans="1:24" ht="17.399999999999999" x14ac:dyDescent="0.35">
      <c r="A17" s="13"/>
      <c r="B17" s="14"/>
      <c r="C17" s="50" t="s">
        <v>106</v>
      </c>
      <c r="D17" s="51"/>
      <c r="E17" s="50">
        <v>1</v>
      </c>
      <c r="F17" s="52">
        <f t="shared" ref="F17:F28" si="21">SUMPRODUCT((HxA=$E17)*(COLUMN(HxA)))-COLUMN(HxA)+1</f>
        <v>5</v>
      </c>
      <c r="G17" s="52">
        <f t="shared" ref="G17:G28" si="22">SUMPRODUCT((HxA=$E17)*(ROW(HxA)))-ROW(HxA)+1</f>
        <v>2</v>
      </c>
      <c r="H17" s="53" t="str">
        <f t="shared" ref="H17:H28" si="23">INDEX(HxA,G17,1)</f>
        <v>T_01</v>
      </c>
      <c r="I17" s="53" t="str">
        <f t="shared" ref="I17:I28" si="24">INDEX(HxA,1,F17)</f>
        <v>T_04</v>
      </c>
      <c r="J17" s="54"/>
      <c r="K17" s="55">
        <v>43832</v>
      </c>
      <c r="L17" s="71"/>
      <c r="O17" s="122">
        <v>1</v>
      </c>
      <c r="P17" s="122" t="str">
        <f t="shared" ref="P17:Q28" ca="1" si="25">INDIRECT(H17)</f>
        <v>Assens</v>
      </c>
      <c r="Q17" s="122" t="str">
        <f t="shared" ca="1" si="25"/>
        <v>Dragør</v>
      </c>
      <c r="R17" s="161">
        <v>43832</v>
      </c>
      <c r="S17" s="162" t="s">
        <v>33</v>
      </c>
      <c r="T17" s="163">
        <v>1</v>
      </c>
      <c r="U17" s="164">
        <v>0</v>
      </c>
      <c r="V17" s="165">
        <v>4</v>
      </c>
      <c r="W17" s="121">
        <f t="shared" ref="W17:W28" si="26">IF(ISNUMBER(U17)*ISNUMBER(V17),IF(U17&gt;V17,ptv, IF(U17=V17,ptu,ptt)),"-")</f>
        <v>0</v>
      </c>
      <c r="X17" s="121">
        <f t="shared" ref="X17:X28" si="27">IF(ISNUMBER(U17)*ISNUMBER(V17),IF(W17=ptv,ptt,IF(W17=ptu,ptu,ptv)),"-")</f>
        <v>3</v>
      </c>
    </row>
    <row r="18" spans="1:24" ht="18" thickBot="1" x14ac:dyDescent="0.4">
      <c r="A18" s="13"/>
      <c r="B18" s="14"/>
      <c r="C18" s="67" t="s">
        <v>95</v>
      </c>
      <c r="D18" s="66">
        <f>OR(H18=H17,H18=I17,I18=H17,I18=I17)*1</f>
        <v>0</v>
      </c>
      <c r="E18" s="67">
        <v>2</v>
      </c>
      <c r="F18" s="68">
        <f t="shared" si="21"/>
        <v>4</v>
      </c>
      <c r="G18" s="68">
        <f t="shared" si="22"/>
        <v>3</v>
      </c>
      <c r="H18" s="69" t="str">
        <f t="shared" si="23"/>
        <v>T_02</v>
      </c>
      <c r="I18" s="69" t="str">
        <f t="shared" si="24"/>
        <v>T_03</v>
      </c>
      <c r="J18" s="69">
        <v>0</v>
      </c>
      <c r="K18" s="70">
        <f>$K$17+J18</f>
        <v>43832</v>
      </c>
      <c r="L18" s="71"/>
      <c r="O18" s="124">
        <v>2</v>
      </c>
      <c r="P18" s="124" t="str">
        <f t="shared" ca="1" si="25"/>
        <v>Bogense</v>
      </c>
      <c r="Q18" s="124" t="str">
        <f t="shared" ca="1" si="25"/>
        <v>Christiansfelt</v>
      </c>
      <c r="R18" s="135">
        <v>43832</v>
      </c>
      <c r="S18" s="125" t="str">
        <f>IFERROR(S17+mMin,"-")</f>
        <v>-</v>
      </c>
      <c r="T18" s="149">
        <v>2</v>
      </c>
      <c r="U18" s="150">
        <v>5</v>
      </c>
      <c r="V18" s="151">
        <v>5</v>
      </c>
      <c r="W18" s="126">
        <f t="shared" si="26"/>
        <v>1</v>
      </c>
      <c r="X18" s="126">
        <f t="shared" si="27"/>
        <v>1</v>
      </c>
    </row>
    <row r="19" spans="1:24" ht="17.399999999999999" x14ac:dyDescent="0.35">
      <c r="A19" s="13"/>
      <c r="B19" s="14"/>
      <c r="C19" s="63" t="s">
        <v>111</v>
      </c>
      <c r="D19" s="62">
        <f t="shared" ref="D19:D28" si="28">OR(H19=H18,H19=I18,I19=H18,I19=I18)*1</f>
        <v>1</v>
      </c>
      <c r="E19" s="63">
        <v>3</v>
      </c>
      <c r="F19" s="51">
        <f t="shared" si="21"/>
        <v>2</v>
      </c>
      <c r="G19" s="51">
        <f t="shared" si="22"/>
        <v>4</v>
      </c>
      <c r="H19" s="64" t="str">
        <f t="shared" si="23"/>
        <v>T_03</v>
      </c>
      <c r="I19" s="64" t="str">
        <f t="shared" si="24"/>
        <v>T_01</v>
      </c>
      <c r="J19" s="64">
        <v>0</v>
      </c>
      <c r="K19" s="65">
        <f t="shared" ref="K19:K32" si="29">$K$17+J19</f>
        <v>43832</v>
      </c>
      <c r="L19" s="71"/>
      <c r="O19" s="160">
        <v>3</v>
      </c>
      <c r="P19" s="160" t="str">
        <f t="shared" ca="1" si="25"/>
        <v>Christiansfelt</v>
      </c>
      <c r="Q19" s="160" t="str">
        <f t="shared" ca="1" si="25"/>
        <v>Assens</v>
      </c>
      <c r="R19" s="161">
        <v>43832</v>
      </c>
      <c r="S19" s="162" t="s">
        <v>33</v>
      </c>
      <c r="T19" s="163">
        <v>1</v>
      </c>
      <c r="U19" s="164">
        <v>3</v>
      </c>
      <c r="V19" s="165">
        <v>5</v>
      </c>
      <c r="W19" s="166">
        <f t="shared" si="26"/>
        <v>0</v>
      </c>
      <c r="X19" s="166">
        <f t="shared" si="27"/>
        <v>3</v>
      </c>
    </row>
    <row r="20" spans="1:24" ht="18" thickBot="1" x14ac:dyDescent="0.4">
      <c r="A20" s="13"/>
      <c r="B20" s="14"/>
      <c r="C20" s="67" t="s">
        <v>112</v>
      </c>
      <c r="D20" s="66">
        <f t="shared" si="28"/>
        <v>0</v>
      </c>
      <c r="E20" s="67">
        <v>4</v>
      </c>
      <c r="F20" s="68">
        <f t="shared" si="21"/>
        <v>3</v>
      </c>
      <c r="G20" s="68">
        <f t="shared" si="22"/>
        <v>5</v>
      </c>
      <c r="H20" s="69" t="str">
        <f t="shared" si="23"/>
        <v>T_04</v>
      </c>
      <c r="I20" s="69" t="str">
        <f t="shared" si="24"/>
        <v>T_02</v>
      </c>
      <c r="J20" s="69">
        <v>1</v>
      </c>
      <c r="K20" s="70">
        <f t="shared" si="29"/>
        <v>43833</v>
      </c>
      <c r="L20" s="71"/>
      <c r="O20" s="124">
        <v>4</v>
      </c>
      <c r="P20" s="124" t="str">
        <f t="shared" ca="1" si="25"/>
        <v>Dragør</v>
      </c>
      <c r="Q20" s="124" t="str">
        <f t="shared" ca="1" si="25"/>
        <v>Bogense</v>
      </c>
      <c r="R20" s="135">
        <v>43833</v>
      </c>
      <c r="S20" s="125" t="str">
        <f>IFERROR(S19+mMin,"-")</f>
        <v>-</v>
      </c>
      <c r="T20" s="149">
        <v>2</v>
      </c>
      <c r="U20" s="150">
        <v>4</v>
      </c>
      <c r="V20" s="151">
        <v>2</v>
      </c>
      <c r="W20" s="126">
        <f t="shared" si="26"/>
        <v>3</v>
      </c>
      <c r="X20" s="126">
        <f t="shared" si="27"/>
        <v>0</v>
      </c>
    </row>
    <row r="21" spans="1:24" ht="17.399999999999999" x14ac:dyDescent="0.35">
      <c r="A21" s="13"/>
      <c r="B21" s="14"/>
      <c r="C21" s="63" t="s">
        <v>116</v>
      </c>
      <c r="D21" s="62">
        <f t="shared" si="28"/>
        <v>1</v>
      </c>
      <c r="E21" s="63">
        <v>5</v>
      </c>
      <c r="F21" s="51">
        <f t="shared" si="21"/>
        <v>3</v>
      </c>
      <c r="G21" s="51">
        <f t="shared" si="22"/>
        <v>2</v>
      </c>
      <c r="H21" s="64" t="str">
        <f t="shared" si="23"/>
        <v>T_01</v>
      </c>
      <c r="I21" s="64" t="str">
        <f t="shared" si="24"/>
        <v>T_02</v>
      </c>
      <c r="J21" s="64">
        <v>1</v>
      </c>
      <c r="K21" s="65">
        <f t="shared" si="29"/>
        <v>43833</v>
      </c>
      <c r="L21" s="71"/>
      <c r="O21" s="160">
        <v>5</v>
      </c>
      <c r="P21" s="160" t="str">
        <f t="shared" ca="1" si="25"/>
        <v>Assens</v>
      </c>
      <c r="Q21" s="160" t="str">
        <f t="shared" ca="1" si="25"/>
        <v>Bogense</v>
      </c>
      <c r="R21" s="161">
        <v>43833</v>
      </c>
      <c r="S21" s="162" t="s">
        <v>33</v>
      </c>
      <c r="T21" s="163">
        <v>1</v>
      </c>
      <c r="U21" s="164">
        <v>5</v>
      </c>
      <c r="V21" s="165">
        <v>3</v>
      </c>
      <c r="W21" s="166">
        <f t="shared" si="26"/>
        <v>3</v>
      </c>
      <c r="X21" s="166">
        <f t="shared" si="27"/>
        <v>0</v>
      </c>
    </row>
    <row r="22" spans="1:24" ht="18" thickBot="1" x14ac:dyDescent="0.4">
      <c r="A22" s="13"/>
      <c r="B22" s="14"/>
      <c r="C22" s="67" t="s">
        <v>90</v>
      </c>
      <c r="D22" s="66">
        <f t="shared" si="28"/>
        <v>0</v>
      </c>
      <c r="E22" s="67">
        <v>6</v>
      </c>
      <c r="F22" s="68">
        <f t="shared" si="21"/>
        <v>5</v>
      </c>
      <c r="G22" s="68">
        <f t="shared" si="22"/>
        <v>4</v>
      </c>
      <c r="H22" s="69" t="str">
        <f t="shared" si="23"/>
        <v>T_03</v>
      </c>
      <c r="I22" s="69" t="str">
        <f t="shared" si="24"/>
        <v>T_04</v>
      </c>
      <c r="J22" s="69">
        <v>1</v>
      </c>
      <c r="K22" s="70">
        <f t="shared" si="29"/>
        <v>43833</v>
      </c>
      <c r="L22" s="71"/>
      <c r="O22" s="167">
        <v>6</v>
      </c>
      <c r="P22" s="167" t="str">
        <f t="shared" ca="1" si="25"/>
        <v>Christiansfelt</v>
      </c>
      <c r="Q22" s="167" t="str">
        <f t="shared" ca="1" si="25"/>
        <v>Dragør</v>
      </c>
      <c r="R22" s="168">
        <v>43833</v>
      </c>
      <c r="S22" s="169" t="str">
        <f>IFERROR(S21+mMin,"-")</f>
        <v>-</v>
      </c>
      <c r="T22" s="170">
        <v>2</v>
      </c>
      <c r="U22" s="171">
        <v>0</v>
      </c>
      <c r="V22" s="172">
        <v>3</v>
      </c>
      <c r="W22" s="173">
        <f t="shared" si="26"/>
        <v>0</v>
      </c>
      <c r="X22" s="173">
        <f t="shared" si="27"/>
        <v>3</v>
      </c>
    </row>
    <row r="23" spans="1:24" ht="17.399999999999999" x14ac:dyDescent="0.35">
      <c r="A23" s="13"/>
      <c r="B23" s="14"/>
      <c r="C23" s="63" t="s">
        <v>151</v>
      </c>
      <c r="D23" s="62">
        <f t="shared" si="28"/>
        <v>1</v>
      </c>
      <c r="E23" s="63">
        <v>7</v>
      </c>
      <c r="F23" s="51">
        <f t="shared" si="21"/>
        <v>2</v>
      </c>
      <c r="G23" s="51">
        <f t="shared" si="22"/>
        <v>5</v>
      </c>
      <c r="H23" s="64" t="str">
        <f t="shared" si="23"/>
        <v>T_04</v>
      </c>
      <c r="I23" s="64" t="str">
        <f t="shared" si="24"/>
        <v>T_01</v>
      </c>
      <c r="J23" s="64">
        <v>2</v>
      </c>
      <c r="K23" s="65">
        <f t="shared" si="29"/>
        <v>43834</v>
      </c>
      <c r="L23" s="71"/>
      <c r="O23" s="160">
        <v>7</v>
      </c>
      <c r="P23" s="160" t="str">
        <f t="shared" ca="1" si="25"/>
        <v>Dragør</v>
      </c>
      <c r="Q23" s="160" t="str">
        <f t="shared" ca="1" si="25"/>
        <v>Assens</v>
      </c>
      <c r="R23" s="161">
        <v>43834</v>
      </c>
      <c r="S23" s="162" t="s">
        <v>33</v>
      </c>
      <c r="T23" s="163">
        <v>1</v>
      </c>
      <c r="U23" s="164">
        <v>0</v>
      </c>
      <c r="V23" s="165">
        <v>4</v>
      </c>
      <c r="W23" s="166">
        <f t="shared" si="26"/>
        <v>0</v>
      </c>
      <c r="X23" s="166">
        <f t="shared" si="27"/>
        <v>3</v>
      </c>
    </row>
    <row r="24" spans="1:24" ht="18" thickBot="1" x14ac:dyDescent="0.4">
      <c r="A24" s="13"/>
      <c r="B24" s="14"/>
      <c r="C24" s="67" t="s">
        <v>140</v>
      </c>
      <c r="D24" s="66">
        <f t="shared" si="28"/>
        <v>0</v>
      </c>
      <c r="E24" s="67">
        <v>8</v>
      </c>
      <c r="F24" s="68">
        <f t="shared" si="21"/>
        <v>3</v>
      </c>
      <c r="G24" s="68">
        <f t="shared" si="22"/>
        <v>4</v>
      </c>
      <c r="H24" s="69" t="str">
        <f t="shared" si="23"/>
        <v>T_03</v>
      </c>
      <c r="I24" s="69" t="str">
        <f t="shared" si="24"/>
        <v>T_02</v>
      </c>
      <c r="J24" s="69">
        <v>2</v>
      </c>
      <c r="K24" s="70">
        <f t="shared" si="29"/>
        <v>43834</v>
      </c>
      <c r="L24" s="71"/>
      <c r="O24" s="124">
        <v>8</v>
      </c>
      <c r="P24" s="124" t="str">
        <f t="shared" ca="1" si="25"/>
        <v>Christiansfelt</v>
      </c>
      <c r="Q24" s="124" t="str">
        <f t="shared" ca="1" si="25"/>
        <v>Bogense</v>
      </c>
      <c r="R24" s="135">
        <v>43834</v>
      </c>
      <c r="S24" s="125" t="str">
        <f>IFERROR(S23+mMin,"-")</f>
        <v>-</v>
      </c>
      <c r="T24" s="149">
        <v>2</v>
      </c>
      <c r="U24" s="150">
        <v>6</v>
      </c>
      <c r="V24" s="151">
        <v>5</v>
      </c>
      <c r="W24" s="126">
        <f t="shared" si="26"/>
        <v>3</v>
      </c>
      <c r="X24" s="126">
        <f t="shared" si="27"/>
        <v>0</v>
      </c>
    </row>
    <row r="25" spans="1:24" ht="17.399999999999999" x14ac:dyDescent="0.35">
      <c r="A25" s="13"/>
      <c r="B25" s="14"/>
      <c r="C25" s="63" t="s">
        <v>156</v>
      </c>
      <c r="D25" s="62">
        <f t="shared" si="28"/>
        <v>1</v>
      </c>
      <c r="E25" s="63">
        <v>9</v>
      </c>
      <c r="F25" s="51">
        <f t="shared" si="21"/>
        <v>4</v>
      </c>
      <c r="G25" s="51">
        <f t="shared" si="22"/>
        <v>2</v>
      </c>
      <c r="H25" s="64" t="str">
        <f t="shared" si="23"/>
        <v>T_01</v>
      </c>
      <c r="I25" s="64" t="str">
        <f t="shared" si="24"/>
        <v>T_03</v>
      </c>
      <c r="J25" s="64">
        <v>2</v>
      </c>
      <c r="K25" s="65">
        <f t="shared" si="29"/>
        <v>43834</v>
      </c>
      <c r="L25" s="71"/>
      <c r="O25" s="160">
        <v>9</v>
      </c>
      <c r="P25" s="160" t="str">
        <f t="shared" ca="1" si="25"/>
        <v>Assens</v>
      </c>
      <c r="Q25" s="160" t="str">
        <f t="shared" ca="1" si="25"/>
        <v>Christiansfelt</v>
      </c>
      <c r="R25" s="161">
        <v>43834</v>
      </c>
      <c r="S25" s="162" t="s">
        <v>33</v>
      </c>
      <c r="T25" s="163">
        <v>1</v>
      </c>
      <c r="U25" s="164">
        <v>3</v>
      </c>
      <c r="V25" s="165">
        <v>5</v>
      </c>
      <c r="W25" s="166">
        <f t="shared" si="26"/>
        <v>0</v>
      </c>
      <c r="X25" s="166">
        <f t="shared" si="27"/>
        <v>3</v>
      </c>
    </row>
    <row r="26" spans="1:24" ht="18" thickBot="1" x14ac:dyDescent="0.4">
      <c r="A26" s="13"/>
      <c r="B26" s="14"/>
      <c r="C26" s="67" t="s">
        <v>157</v>
      </c>
      <c r="D26" s="66">
        <f t="shared" si="28"/>
        <v>0</v>
      </c>
      <c r="E26" s="67">
        <v>10</v>
      </c>
      <c r="F26" s="68">
        <f t="shared" si="21"/>
        <v>5</v>
      </c>
      <c r="G26" s="68">
        <f t="shared" si="22"/>
        <v>3</v>
      </c>
      <c r="H26" s="69" t="str">
        <f t="shared" si="23"/>
        <v>T_02</v>
      </c>
      <c r="I26" s="69" t="str">
        <f t="shared" si="24"/>
        <v>T_04</v>
      </c>
      <c r="J26" s="69">
        <v>3</v>
      </c>
      <c r="K26" s="70">
        <f t="shared" si="29"/>
        <v>43835</v>
      </c>
      <c r="L26" s="71"/>
      <c r="O26" s="124">
        <v>10</v>
      </c>
      <c r="P26" s="124" t="str">
        <f t="shared" ca="1" si="25"/>
        <v>Bogense</v>
      </c>
      <c r="Q26" s="124" t="str">
        <f t="shared" ca="1" si="25"/>
        <v>Dragør</v>
      </c>
      <c r="R26" s="135">
        <v>43835</v>
      </c>
      <c r="S26" s="125" t="str">
        <f>IFERROR(S25+mMin,"-")</f>
        <v>-</v>
      </c>
      <c r="T26" s="149">
        <v>2</v>
      </c>
      <c r="U26" s="150">
        <v>2</v>
      </c>
      <c r="V26" s="151">
        <v>2</v>
      </c>
      <c r="W26" s="126">
        <f t="shared" si="26"/>
        <v>1</v>
      </c>
      <c r="X26" s="126">
        <f t="shared" si="27"/>
        <v>1</v>
      </c>
    </row>
    <row r="27" spans="1:24" ht="17.399999999999999" x14ac:dyDescent="0.35">
      <c r="A27" s="13"/>
      <c r="B27" s="14"/>
      <c r="C27" s="63" t="s">
        <v>161</v>
      </c>
      <c r="D27" s="62">
        <f t="shared" si="28"/>
        <v>1</v>
      </c>
      <c r="E27" s="63">
        <v>11</v>
      </c>
      <c r="F27" s="51">
        <f t="shared" si="21"/>
        <v>2</v>
      </c>
      <c r="G27" s="51">
        <f t="shared" si="22"/>
        <v>3</v>
      </c>
      <c r="H27" s="64" t="str">
        <f t="shared" si="23"/>
        <v>T_02</v>
      </c>
      <c r="I27" s="64" t="str">
        <f t="shared" si="24"/>
        <v>T_01</v>
      </c>
      <c r="J27" s="64">
        <v>3</v>
      </c>
      <c r="K27" s="65">
        <f t="shared" si="29"/>
        <v>43835</v>
      </c>
      <c r="L27" s="71"/>
      <c r="O27" s="160">
        <v>11</v>
      </c>
      <c r="P27" s="160" t="str">
        <f t="shared" ca="1" si="25"/>
        <v>Bogense</v>
      </c>
      <c r="Q27" s="160" t="str">
        <f t="shared" ca="1" si="25"/>
        <v>Assens</v>
      </c>
      <c r="R27" s="161">
        <v>43835</v>
      </c>
      <c r="S27" s="162" t="s">
        <v>33</v>
      </c>
      <c r="T27" s="163">
        <v>1</v>
      </c>
      <c r="U27" s="164">
        <v>0</v>
      </c>
      <c r="V27" s="165">
        <v>5</v>
      </c>
      <c r="W27" s="166">
        <f t="shared" si="26"/>
        <v>0</v>
      </c>
      <c r="X27" s="166">
        <f t="shared" si="27"/>
        <v>3</v>
      </c>
    </row>
    <row r="28" spans="1:24" ht="18" thickBot="1" x14ac:dyDescent="0.4">
      <c r="A28" s="13"/>
      <c r="B28" s="14"/>
      <c r="C28" s="67" t="s">
        <v>135</v>
      </c>
      <c r="D28" s="66">
        <f t="shared" si="28"/>
        <v>0</v>
      </c>
      <c r="E28" s="67">
        <v>12</v>
      </c>
      <c r="F28" s="68">
        <f t="shared" si="21"/>
        <v>4</v>
      </c>
      <c r="G28" s="68">
        <f t="shared" si="22"/>
        <v>5</v>
      </c>
      <c r="H28" s="69" t="str">
        <f t="shared" si="23"/>
        <v>T_04</v>
      </c>
      <c r="I28" s="69" t="str">
        <f t="shared" si="24"/>
        <v>T_03</v>
      </c>
      <c r="J28" s="69">
        <v>3</v>
      </c>
      <c r="K28" s="70">
        <f t="shared" si="29"/>
        <v>43835</v>
      </c>
      <c r="L28" s="71"/>
      <c r="O28" s="124">
        <v>12</v>
      </c>
      <c r="P28" s="124" t="str">
        <f t="shared" ca="1" si="25"/>
        <v>Dragør</v>
      </c>
      <c r="Q28" s="124" t="str">
        <f t="shared" ca="1" si="25"/>
        <v>Christiansfelt</v>
      </c>
      <c r="R28" s="135">
        <v>43835</v>
      </c>
      <c r="S28" s="125" t="str">
        <f>IFERROR(S27+mMin,"-")</f>
        <v>-</v>
      </c>
      <c r="T28" s="149">
        <v>2</v>
      </c>
      <c r="U28" s="150">
        <v>0</v>
      </c>
      <c r="V28" s="151">
        <v>3</v>
      </c>
      <c r="W28" s="126">
        <f t="shared" si="26"/>
        <v>0</v>
      </c>
      <c r="X28" s="126">
        <f t="shared" si="27"/>
        <v>3</v>
      </c>
    </row>
    <row r="29" spans="1:24" ht="18" thickBot="1" x14ac:dyDescent="0.4">
      <c r="H29" s="19" t="s">
        <v>34</v>
      </c>
      <c r="I29" s="19" t="s">
        <v>35</v>
      </c>
      <c r="J29" s="15"/>
      <c r="K29" s="17"/>
      <c r="L29" s="71"/>
      <c r="P29" s="92"/>
      <c r="Q29" s="92"/>
      <c r="R29" s="92"/>
      <c r="S29" s="5"/>
      <c r="T29" s="5"/>
      <c r="U29" s="16"/>
      <c r="V29" s="185"/>
    </row>
    <row r="30" spans="1:24" ht="18" thickBot="1" x14ac:dyDescent="0.4">
      <c r="H30" s="20" t="str">
        <f>IF(ISNUMBER(U30),IF(U30&gt;V30,P30,Q30),"")</f>
        <v/>
      </c>
      <c r="I30" s="20" t="str">
        <f>IF(ISNUMBER(U30),IF(H30=P30,Q30,P30),"")</f>
        <v/>
      </c>
      <c r="J30" s="15">
        <v>10</v>
      </c>
      <c r="K30" s="17">
        <f t="shared" si="29"/>
        <v>43842</v>
      </c>
      <c r="L30" s="71"/>
      <c r="O30" s="89" t="s">
        <v>64</v>
      </c>
      <c r="P30" s="90"/>
      <c r="Q30" s="90"/>
      <c r="R30" s="174">
        <v>41660</v>
      </c>
      <c r="S30" s="175">
        <v>0.54166666666666663</v>
      </c>
      <c r="T30" s="176">
        <v>2</v>
      </c>
      <c r="U30" s="177"/>
      <c r="V30" s="178"/>
      <c r="W30" s="21" t="str">
        <f t="shared" ref="W30" si="30">IF(ISNUMBER(U30)*ISNUMBER(V30),IF(U30&gt;V30,ptv, IF(U30=V30,ptu,ptt)),"-")</f>
        <v>-</v>
      </c>
      <c r="X30" s="21" t="str">
        <f t="shared" ref="X30" si="31">IF(ISNUMBER(U30)*ISNUMBER(V30),IF(W30=ptv,ptt,IF(W30=ptu,ptu,ptv)),"-")</f>
        <v>-</v>
      </c>
    </row>
    <row r="31" spans="1:24" ht="15" thickBot="1" x14ac:dyDescent="0.25">
      <c r="H31" s="19" t="s">
        <v>36</v>
      </c>
      <c r="I31" s="19" t="s">
        <v>37</v>
      </c>
      <c r="J31" s="15"/>
      <c r="K31" s="17"/>
      <c r="L31" s="71"/>
      <c r="P31" s="92"/>
      <c r="Q31" s="92"/>
      <c r="R31" s="92"/>
      <c r="S31" s="5"/>
      <c r="T31" s="5"/>
      <c r="U31" s="5"/>
      <c r="V31" s="94"/>
    </row>
    <row r="32" spans="1:24" ht="18" thickBot="1" x14ac:dyDescent="0.4">
      <c r="H32" s="20" t="str">
        <f>IF(ISNUMBER(U32),IF(U32&gt;V32,P32,Q32),"")</f>
        <v/>
      </c>
      <c r="I32" s="20" t="str">
        <f>IF(ISNUMBER(U32),IF(H32=P32,Q32,P32),"")</f>
        <v/>
      </c>
      <c r="J32" s="15">
        <v>11</v>
      </c>
      <c r="K32" s="17">
        <f t="shared" si="29"/>
        <v>43843</v>
      </c>
      <c r="L32" s="71"/>
      <c r="O32" s="88" t="s">
        <v>175</v>
      </c>
      <c r="P32" s="90"/>
      <c r="Q32" s="90"/>
      <c r="R32" s="174">
        <v>41661</v>
      </c>
      <c r="S32" s="175">
        <v>0.54166666666666663</v>
      </c>
      <c r="T32" s="176">
        <v>2</v>
      </c>
      <c r="U32" s="177"/>
      <c r="V32" s="178"/>
      <c r="W32" s="21" t="str">
        <f t="shared" ref="W32" si="32">IF(ISNUMBER(U32)*ISNUMBER(V32),IF(U32&gt;V32,ptv, IF(U32=V32,ptu,ptt)),"-")</f>
        <v>-</v>
      </c>
      <c r="X32" s="21" t="str">
        <f t="shared" ref="X32" si="33">IF(ISNUMBER(U32)*ISNUMBER(V32),IF(W32=ptv,ptt,IF(W32=ptu,ptu,ptv)),"-")</f>
        <v>-</v>
      </c>
    </row>
    <row r="33" spans="12:12" ht="14.4" x14ac:dyDescent="0.2">
      <c r="L33" s="71"/>
    </row>
  </sheetData>
  <sheetProtection sheet="1" objects="1" scenarios="1"/>
  <conditionalFormatting sqref="D19">
    <cfRule type="expression" dxfId="103" priority="4">
      <formula>D19=1</formula>
    </cfRule>
  </conditionalFormatting>
  <conditionalFormatting sqref="D18:D19">
    <cfRule type="expression" dxfId="102" priority="6">
      <formula>D18=1</formula>
    </cfRule>
  </conditionalFormatting>
  <conditionalFormatting sqref="L3:L6">
    <cfRule type="duplicateValues" dxfId="101" priority="44"/>
  </conditionalFormatting>
  <conditionalFormatting sqref="M3:M6">
    <cfRule type="duplicateValues" dxfId="100" priority="45"/>
  </conditionalFormatting>
  <conditionalFormatting sqref="B11:E14">
    <cfRule type="duplicateValues" dxfId="99" priority="48"/>
    <cfRule type="expression" dxfId="98" priority="49">
      <formula>AND(B11&lt;=$E$8,ISNUMBER(B11))</formula>
    </cfRule>
  </conditionalFormatting>
  <conditionalFormatting sqref="D20">
    <cfRule type="expression" dxfId="97" priority="5">
      <formula>D20=1</formula>
    </cfRule>
  </conditionalFormatting>
  <conditionalFormatting sqref="D21 D23 D25 D27">
    <cfRule type="expression" dxfId="96" priority="3">
      <formula>D21=1</formula>
    </cfRule>
  </conditionalFormatting>
  <conditionalFormatting sqref="D22 D24 D26 D28">
    <cfRule type="expression" dxfId="95" priority="2">
      <formula>D22=1</formula>
    </cfRule>
  </conditionalFormatting>
  <conditionalFormatting sqref="D21 D23 D25 D27">
    <cfRule type="expression" dxfId="94" priority="1">
      <formula>D21=1</formula>
    </cfRule>
  </conditionalFormatting>
  <dataValidations disablePrompts="1" count="1">
    <dataValidation type="list" allowBlank="1" showInputMessage="1" showErrorMessage="1" sqref="P30:Q30 P32:Q32" xr:uid="{EC3B80A0-881A-45B6-8C46-8AB3EA7D49FD}">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7D30-906E-4D22-917B-8063EDAF7F7C}">
  <sheetPr codeName="grp04x3">
    <tabColor theme="6" tint="-0.249977111117893"/>
    <outlinePr showOutlineSymbols="0"/>
    <pageSetUpPr fitToPage="1"/>
  </sheetPr>
  <dimension ref="A1:X39"/>
  <sheetViews>
    <sheetView showGridLines="0" showRowColHeaders="0" showOutlineSymbols="0" zoomScaleNormal="100" zoomScaleSheetLayoutView="100" workbookViewId="0">
      <pane ySplit="16" topLeftCell="A17" activePane="bottomLeft" state="frozen"/>
      <selection activeCell="L43" sqref="L43"/>
      <selection pane="bottomLeft" activeCell="P17" sqref="P17"/>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 hidden="1" customWidth="1" outlineLevel="1"/>
    <col min="13" max="13" width="4.6328125" hidden="1" customWidth="1" outlineLevel="1"/>
    <col min="14" max="14" width="3.6328125" customWidth="1" collapsed="1"/>
    <col min="15" max="15" width="3.906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6" si="0">INDEX(xTeams,A3,1)</f>
        <v>Assens</v>
      </c>
      <c r="C3" s="96">
        <f t="shared" ref="C3" ca="1" si="1">SUMIF(team1,teams,goals1)+SUMIF(team2,teams,goals2)</f>
        <v>29</v>
      </c>
      <c r="D3" s="96">
        <f t="shared" ref="D3" ca="1" si="2">SUMIF(team1,teams,goals2)+SUMIF(team2,teams,goals1)</f>
        <v>29</v>
      </c>
      <c r="E3" s="104">
        <f t="shared" ref="E3:E6" ca="1" si="3">SUMIFS(
   points1,team1,teams
) +
  SUMIFS(points2,team2,teams)</f>
        <v>15</v>
      </c>
      <c r="F3" s="96">
        <f t="shared" ref="F3:F6" ca="1" si="4">C3-D3</f>
        <v>0</v>
      </c>
      <c r="G3" s="96">
        <f t="shared" ref="G3:G6" ca="1" si="5">COUNTIFS(team1,$B3,points1,"&gt;=0")+COUNTIFS(team2,$B3,points2,"&gt;=0")</f>
        <v>9</v>
      </c>
      <c r="H3" s="105">
        <f ca="1">IF(G3=0,1,0)</f>
        <v>0</v>
      </c>
      <c r="I3" s="105">
        <f ca="1">RANK($E3,$E$3:$E$6,0)</f>
        <v>2</v>
      </c>
      <c r="J3" s="98">
        <f ca="1">RANK($F3,$F$3:$F$6,0)/10</f>
        <v>0.2</v>
      </c>
      <c r="K3" s="99">
        <f ca="1">RANK($C3,$C$3:$C$6,0)/100</f>
        <v>0.01</v>
      </c>
      <c r="L3" s="99">
        <f ca="1">SUM(H3:K3)</f>
        <v>2.21</v>
      </c>
      <c r="M3" s="96">
        <f ca="1">RANK($L3,$L$3:$L$6,1) + COUNTIF($L$3:$L3,$L3)-1</f>
        <v>2</v>
      </c>
    </row>
    <row r="4" spans="1:24" hidden="1" outlineLevel="1" x14ac:dyDescent="0.2">
      <c r="A4" s="103">
        <v>2</v>
      </c>
      <c r="B4" s="103" t="str">
        <f t="shared" si="0"/>
        <v>Bogense</v>
      </c>
      <c r="C4" s="96">
        <f t="shared" ref="C4:C6" ca="1" si="6">SUMIF(team1,teams,goals1)+SUMIF(team2,teams,goals2)</f>
        <v>27</v>
      </c>
      <c r="D4" s="96">
        <f t="shared" ref="D4:D6" ca="1" si="7">SUMIF(team1,teams,goals2)+SUMIF(team2,teams,goals1)</f>
        <v>31</v>
      </c>
      <c r="E4" s="104">
        <f t="shared" ca="1" si="3"/>
        <v>10</v>
      </c>
      <c r="F4" s="96">
        <f t="shared" ca="1" si="4"/>
        <v>-4</v>
      </c>
      <c r="G4" s="96">
        <f t="shared" ca="1" si="5"/>
        <v>9</v>
      </c>
      <c r="H4" s="105">
        <f t="shared" ref="H4:H6" ca="1" si="8">IF(G4=0,1,0)</f>
        <v>0</v>
      </c>
      <c r="I4" s="105">
        <f ca="1">RANK($E4,$E$3:$E$6,0)</f>
        <v>3</v>
      </c>
      <c r="J4" s="98">
        <f ca="1">RANK($F4,$F$3:$F$6,0)/10</f>
        <v>0.3</v>
      </c>
      <c r="K4" s="99">
        <f ca="1">RANK($C4,$C$3:$C$6,0)/100</f>
        <v>0.03</v>
      </c>
      <c r="L4" s="99">
        <f t="shared" ref="L4:L6" ca="1" si="9">SUM(H4:K4)</f>
        <v>3.3299999999999996</v>
      </c>
      <c r="M4" s="96">
        <f ca="1">RANK($L4,$L$3:$L$6,1) + COUNTIF($L$3:$L4,$L4)-1</f>
        <v>3</v>
      </c>
    </row>
    <row r="5" spans="1:24" hidden="1" outlineLevel="1" x14ac:dyDescent="0.2">
      <c r="A5" s="103">
        <v>3</v>
      </c>
      <c r="B5" s="103" t="str">
        <f t="shared" si="0"/>
        <v>Christiansfelt</v>
      </c>
      <c r="C5" s="96">
        <f t="shared" ca="1" si="6"/>
        <v>22</v>
      </c>
      <c r="D5" s="96">
        <f t="shared" ca="1" si="7"/>
        <v>28</v>
      </c>
      <c r="E5" s="104">
        <f t="shared" ca="1" si="3"/>
        <v>10</v>
      </c>
      <c r="F5" s="96">
        <f t="shared" ca="1" si="4"/>
        <v>-6</v>
      </c>
      <c r="G5" s="96">
        <f t="shared" ca="1" si="5"/>
        <v>9</v>
      </c>
      <c r="H5" s="105">
        <f t="shared" ca="1" si="8"/>
        <v>0</v>
      </c>
      <c r="I5" s="105">
        <f ca="1">RANK($E5,$E$3:$E$6,0)</f>
        <v>3</v>
      </c>
      <c r="J5" s="98">
        <f ca="1">RANK($F5,$F$3:$F$6,0)/10</f>
        <v>0.4</v>
      </c>
      <c r="K5" s="99">
        <f ca="1">RANK($C5,$C$3:$C$6,0)/100</f>
        <v>0.04</v>
      </c>
      <c r="L5" s="99">
        <f t="shared" ca="1" si="9"/>
        <v>3.44</v>
      </c>
      <c r="M5" s="96">
        <f ca="1">RANK($L5,$L$3:$L$6,1) + COUNTIF($L$3:$L5,$L5)-1</f>
        <v>4</v>
      </c>
    </row>
    <row r="6" spans="1:24" hidden="1" outlineLevel="1" x14ac:dyDescent="0.2">
      <c r="A6" s="103">
        <v>4</v>
      </c>
      <c r="B6" s="103" t="str">
        <f t="shared" si="0"/>
        <v>Dragør</v>
      </c>
      <c r="C6" s="96">
        <f t="shared" ca="1" si="6"/>
        <v>29</v>
      </c>
      <c r="D6" s="96">
        <f t="shared" ca="1" si="7"/>
        <v>19</v>
      </c>
      <c r="E6" s="104">
        <f t="shared" ca="1" si="3"/>
        <v>18</v>
      </c>
      <c r="F6" s="96">
        <f t="shared" ca="1" si="4"/>
        <v>10</v>
      </c>
      <c r="G6" s="96">
        <f t="shared" ca="1" si="5"/>
        <v>9</v>
      </c>
      <c r="H6" s="105">
        <f t="shared" ca="1" si="8"/>
        <v>0</v>
      </c>
      <c r="I6" s="105">
        <f ca="1">RANK($E6,$E$3:$E$6,0)</f>
        <v>1</v>
      </c>
      <c r="J6" s="98">
        <f ca="1">RANK($F6,$F$3:$F$6,0)/10</f>
        <v>0.1</v>
      </c>
      <c r="K6" s="99">
        <f ca="1">RANK($C6,$C$3:$C$6,0)/100</f>
        <v>0.01</v>
      </c>
      <c r="L6" s="99">
        <f t="shared" ca="1" si="9"/>
        <v>1.1100000000000001</v>
      </c>
      <c r="M6" s="96">
        <f ca="1">RANK($L6,$L$3:$L$6,1) + COUNTIF($L$3:$L6,$L6)-1</f>
        <v>1</v>
      </c>
    </row>
    <row r="7" spans="1:24" ht="13.2" collapsed="1" thickBot="1" x14ac:dyDescent="0.25">
      <c r="O7"/>
      <c r="P7"/>
      <c r="Q7"/>
      <c r="R7"/>
    </row>
    <row r="8" spans="1:24" s="4" customFormat="1" ht="24" thickBot="1" x14ac:dyDescent="0.5">
      <c r="A8" s="42" t="s">
        <v>168</v>
      </c>
      <c r="B8" s="97">
        <v>4</v>
      </c>
      <c r="C8" s="72"/>
      <c r="D8" s="73" t="s">
        <v>65</v>
      </c>
      <c r="E8" s="97">
        <f>(B8/2)*(B8-1)</f>
        <v>6</v>
      </c>
      <c r="O8" s="75" t="str">
        <f>TurneringsNavn</f>
        <v>Forårsstævne</v>
      </c>
      <c r="P8" s="5"/>
      <c r="Q8" s="5"/>
      <c r="R8" s="5"/>
      <c r="S8" s="5"/>
      <c r="T8" s="5"/>
      <c r="U8" s="5"/>
      <c r="V8" s="5"/>
      <c r="W8" s="5"/>
      <c r="X8" s="5"/>
    </row>
    <row r="9" spans="1:24" ht="6.75" customHeight="1" x14ac:dyDescent="0.2">
      <c r="I9" s="4"/>
      <c r="J9" s="4"/>
      <c r="O9"/>
      <c r="P9"/>
      <c r="Q9"/>
      <c r="R9"/>
    </row>
    <row r="10" spans="1:24" ht="13.8" x14ac:dyDescent="0.25">
      <c r="B10" s="6" t="s">
        <v>66</v>
      </c>
      <c r="C10" s="6" t="s">
        <v>67</v>
      </c>
      <c r="D10" s="6" t="s">
        <v>68</v>
      </c>
      <c r="E10" s="6" t="s">
        <v>69</v>
      </c>
      <c r="F10" s="7" t="s">
        <v>2</v>
      </c>
      <c r="G10" s="6" t="s">
        <v>3</v>
      </c>
      <c r="H10" s="6" t="s">
        <v>4</v>
      </c>
      <c r="I10" s="6" t="s">
        <v>167</v>
      </c>
      <c r="J10" s="4"/>
      <c r="L10" s="6"/>
      <c r="M10" s="6"/>
      <c r="O10" s="128" t="s">
        <v>198</v>
      </c>
      <c r="P10" s="129" t="s">
        <v>176</v>
      </c>
      <c r="Q10" s="129"/>
      <c r="R10" s="130" t="s">
        <v>5</v>
      </c>
      <c r="S10" s="128" t="s">
        <v>6</v>
      </c>
      <c r="T10" s="128" t="s">
        <v>7</v>
      </c>
      <c r="U10" s="128" t="s">
        <v>8</v>
      </c>
      <c r="V10" s="128" t="s">
        <v>9</v>
      </c>
      <c r="W10" s="128" t="s">
        <v>10</v>
      </c>
      <c r="X10" s="131" t="s">
        <v>177</v>
      </c>
    </row>
    <row r="11" spans="1:24" ht="17.399999999999999" x14ac:dyDescent="0.35">
      <c r="A11" s="6" t="s">
        <v>66</v>
      </c>
      <c r="B11" s="8"/>
      <c r="C11" s="9">
        <v>5</v>
      </c>
      <c r="D11" s="9">
        <v>9</v>
      </c>
      <c r="E11" s="9">
        <v>1</v>
      </c>
      <c r="F11" s="10" t="str">
        <f ca="1">IFERROR(CHOOSE((P11=H$38)*1+(P11=I$38)*2+(P11=H$36)*3,"Guld","Sølv","Bronze"),"")</f>
        <v/>
      </c>
      <c r="G11" s="11">
        <f t="shared" ref="G11:H14" ca="1" si="10">COUNTIF(P$17:P$34,$B3)</f>
        <v>4</v>
      </c>
      <c r="H11" s="11">
        <f t="shared" ca="1" si="10"/>
        <v>5</v>
      </c>
      <c r="I11" s="11">
        <f ca="1">G11+H11</f>
        <v>9</v>
      </c>
      <c r="J11" s="4"/>
      <c r="L11" s="11"/>
      <c r="M11" s="11"/>
      <c r="O11" s="119">
        <v>1</v>
      </c>
      <c r="P11" s="120" t="str">
        <f ca="1" xml:space="preserve">  INDEX(teams,MATCH(rankNum,actRank,0))</f>
        <v>Dragør</v>
      </c>
      <c r="Q11" s="120"/>
      <c r="R11" s="127">
        <f t="shared" ref="R11:R14" ca="1" si="11">COUNTIFS(team1,teamName,points1,"&gt;=0")+COUNTIFS(team2,teamName,points2,"&gt;=0")</f>
        <v>9</v>
      </c>
      <c r="S11" s="143">
        <f t="shared" ref="S11:S14" ca="1" si="12">COUNTIFS(team1,teamName,points1,ptv)+COUNTIFS(team2,teamName,points2,ptv)</f>
        <v>6</v>
      </c>
      <c r="T11" s="121">
        <f t="shared" ref="T11:T14" ca="1" si="13">COUNTIFS(team1,teamName,points1,ptu)+COUNTIFS(team2,teamName,points2,ptu)</f>
        <v>0</v>
      </c>
      <c r="U11" s="121">
        <f t="shared" ref="U11:U14" ca="1" si="14">COUNTIFS(team1,teamName,points1,ptt)+COUNTIFS(team2,teamName,points2,ptt)</f>
        <v>3</v>
      </c>
      <c r="V11" s="143">
        <f t="shared" ref="V11:V14" ca="1" si="15">SUMIF(team1,teamName,goals1)+SUMIF(team2,teamName,goals2)</f>
        <v>29</v>
      </c>
      <c r="W11" s="121">
        <f t="shared" ref="W11:W14" ca="1" si="16">SUMIF(team1,teamName,goals2)+SUMIF(team2,teamName,goals1)</f>
        <v>19</v>
      </c>
      <c r="X11" s="144">
        <f t="shared" ref="X11:X14" ca="1" si="17">SUMIFS(points1,team1,teamName)+SUMIFS(points2,team2,teamName)</f>
        <v>18</v>
      </c>
    </row>
    <row r="12" spans="1:24" ht="17.399999999999999" x14ac:dyDescent="0.35">
      <c r="A12" s="6" t="s">
        <v>67</v>
      </c>
      <c r="B12" s="9">
        <v>11</v>
      </c>
      <c r="C12" s="8"/>
      <c r="D12" s="9">
        <v>2</v>
      </c>
      <c r="E12" s="9">
        <v>10</v>
      </c>
      <c r="F12" s="10" t="str">
        <f ca="1">IFERROR(CHOOSE((P12=H$38)*1+(P12=I$38)*2+(P12=H$36)*3,"Guld","Sølv","Bronze"),"")</f>
        <v/>
      </c>
      <c r="G12" s="11">
        <f t="shared" ca="1" si="10"/>
        <v>5</v>
      </c>
      <c r="H12" s="11">
        <f t="shared" ca="1" si="10"/>
        <v>4</v>
      </c>
      <c r="I12" s="11">
        <f t="shared" ref="I12:I14" ca="1" si="18">G12+H12</f>
        <v>9</v>
      </c>
      <c r="J12" s="4"/>
      <c r="L12" s="11"/>
      <c r="M12" s="11"/>
      <c r="O12" s="119">
        <v>2</v>
      </c>
      <c r="P12" s="120" t="str">
        <f t="shared" ref="P12:P14" ca="1" si="19" xml:space="preserve">  INDEX(teams,MATCH(rankNum,actRank,0))</f>
        <v>Assens</v>
      </c>
      <c r="Q12" s="120"/>
      <c r="R12" s="127">
        <f t="shared" ca="1" si="11"/>
        <v>9</v>
      </c>
      <c r="S12" s="143">
        <f t="shared" ca="1" si="12"/>
        <v>5</v>
      </c>
      <c r="T12" s="121">
        <f t="shared" ca="1" si="13"/>
        <v>0</v>
      </c>
      <c r="U12" s="121">
        <f t="shared" ca="1" si="14"/>
        <v>4</v>
      </c>
      <c r="V12" s="143">
        <f t="shared" ca="1" si="15"/>
        <v>29</v>
      </c>
      <c r="W12" s="121">
        <f t="shared" ca="1" si="16"/>
        <v>29</v>
      </c>
      <c r="X12" s="144">
        <f t="shared" ca="1" si="17"/>
        <v>15</v>
      </c>
    </row>
    <row r="13" spans="1:24" ht="17.399999999999999" x14ac:dyDescent="0.35">
      <c r="A13" s="6" t="s">
        <v>68</v>
      </c>
      <c r="B13" s="9">
        <v>3</v>
      </c>
      <c r="C13" s="9">
        <v>8</v>
      </c>
      <c r="D13" s="8"/>
      <c r="E13" s="9">
        <v>6</v>
      </c>
      <c r="F13" s="10" t="str">
        <f ca="1">IFERROR(CHOOSE((P13=H$38)*1+(P13=I$38)*2+(P13=H$36)*3,"Guld","Sølv","Bronze"),"")</f>
        <v/>
      </c>
      <c r="G13" s="11">
        <f t="shared" ca="1" si="10"/>
        <v>4</v>
      </c>
      <c r="H13" s="11">
        <f t="shared" ca="1" si="10"/>
        <v>5</v>
      </c>
      <c r="I13" s="11">
        <f t="shared" ca="1" si="18"/>
        <v>9</v>
      </c>
      <c r="J13" s="4"/>
      <c r="L13" s="11"/>
      <c r="M13" s="11"/>
      <c r="O13" s="119">
        <v>3</v>
      </c>
      <c r="P13" s="120" t="str">
        <f t="shared" ca="1" si="19"/>
        <v>Bogense</v>
      </c>
      <c r="Q13" s="120"/>
      <c r="R13" s="127">
        <f t="shared" ca="1" si="11"/>
        <v>9</v>
      </c>
      <c r="S13" s="143">
        <f t="shared" ca="1" si="12"/>
        <v>3</v>
      </c>
      <c r="T13" s="121">
        <f t="shared" ca="1" si="13"/>
        <v>1</v>
      </c>
      <c r="U13" s="121">
        <f t="shared" ca="1" si="14"/>
        <v>5</v>
      </c>
      <c r="V13" s="143">
        <f t="shared" ca="1" si="15"/>
        <v>27</v>
      </c>
      <c r="W13" s="121">
        <f t="shared" ca="1" si="16"/>
        <v>31</v>
      </c>
      <c r="X13" s="144">
        <f t="shared" ca="1" si="17"/>
        <v>10</v>
      </c>
    </row>
    <row r="14" spans="1:24" ht="17.399999999999999" x14ac:dyDescent="0.35">
      <c r="A14" s="6" t="s">
        <v>69</v>
      </c>
      <c r="B14" s="9">
        <v>7</v>
      </c>
      <c r="C14" s="9">
        <v>4</v>
      </c>
      <c r="D14" s="9">
        <v>12</v>
      </c>
      <c r="E14" s="8"/>
      <c r="F14" s="10" t="str">
        <f ca="1">IFERROR(CHOOSE((P14=H$38)*1+(P14=I$38)*2+(P14=H$36)*3,"Guld","Sølv","Bronze"),"")</f>
        <v/>
      </c>
      <c r="G14" s="11">
        <f t="shared" ca="1" si="10"/>
        <v>5</v>
      </c>
      <c r="H14" s="11">
        <f t="shared" ca="1" si="10"/>
        <v>4</v>
      </c>
      <c r="I14" s="11">
        <f t="shared" ca="1" si="18"/>
        <v>9</v>
      </c>
      <c r="J14" s="4"/>
      <c r="L14" s="11"/>
      <c r="M14" s="11"/>
      <c r="O14" s="119">
        <v>4</v>
      </c>
      <c r="P14" s="120" t="str">
        <f t="shared" ca="1" si="19"/>
        <v>Christiansfelt</v>
      </c>
      <c r="Q14" s="120"/>
      <c r="R14" s="127">
        <f t="shared" ca="1" si="11"/>
        <v>9</v>
      </c>
      <c r="S14" s="143">
        <f t="shared" ca="1" si="12"/>
        <v>3</v>
      </c>
      <c r="T14" s="121">
        <f t="shared" ca="1" si="13"/>
        <v>1</v>
      </c>
      <c r="U14" s="121">
        <f t="shared" ca="1" si="14"/>
        <v>5</v>
      </c>
      <c r="V14" s="143">
        <f t="shared" ca="1" si="15"/>
        <v>22</v>
      </c>
      <c r="W14" s="121">
        <f t="shared" ca="1" si="16"/>
        <v>28</v>
      </c>
      <c r="X14" s="144">
        <f t="shared" ca="1" si="17"/>
        <v>10</v>
      </c>
    </row>
    <row r="15" spans="1:24" x14ac:dyDescent="0.2">
      <c r="O15"/>
      <c r="P15"/>
      <c r="Q15"/>
      <c r="R15"/>
    </row>
    <row r="16" spans="1:24" s="12" customFormat="1" ht="15" thickBot="1" x14ac:dyDescent="0.35">
      <c r="C16" s="44" t="s">
        <v>17</v>
      </c>
      <c r="D16" s="45" t="s">
        <v>18</v>
      </c>
      <c r="E16" s="61" t="s">
        <v>19</v>
      </c>
      <c r="F16" s="47" t="s">
        <v>20</v>
      </c>
      <c r="G16" s="47" t="s">
        <v>21</v>
      </c>
      <c r="H16" s="47" t="s">
        <v>22</v>
      </c>
      <c r="I16" s="47" t="s">
        <v>23</v>
      </c>
      <c r="J16" s="48" t="s">
        <v>24</v>
      </c>
      <c r="K16" s="49" t="s">
        <v>25</v>
      </c>
      <c r="L16" s="49"/>
      <c r="O16" s="140" t="s">
        <v>5</v>
      </c>
      <c r="P16" s="139" t="s">
        <v>26</v>
      </c>
      <c r="Q16" s="139" t="s">
        <v>27</v>
      </c>
      <c r="R16" s="179" t="s">
        <v>28</v>
      </c>
      <c r="S16" s="179" t="s">
        <v>29</v>
      </c>
      <c r="T16" s="179" t="s">
        <v>30</v>
      </c>
      <c r="U16" s="180" t="s">
        <v>31</v>
      </c>
      <c r="V16" s="180" t="s">
        <v>31</v>
      </c>
      <c r="W16" s="138" t="s">
        <v>32</v>
      </c>
      <c r="X16" s="138" t="s">
        <v>32</v>
      </c>
    </row>
    <row r="17" spans="1:24" ht="17.399999999999999" x14ac:dyDescent="0.35">
      <c r="A17" s="13"/>
      <c r="B17" s="14"/>
      <c r="C17" s="50" t="s">
        <v>106</v>
      </c>
      <c r="D17" s="51"/>
      <c r="E17" s="50">
        <v>1</v>
      </c>
      <c r="F17" s="52">
        <f t="shared" ref="F17:F34" si="20">SUMPRODUCT((HxA=$E17)*(COLUMN(HxA)))-COLUMN(HxA)+1</f>
        <v>5</v>
      </c>
      <c r="G17" s="52">
        <f t="shared" ref="G17:G34" si="21">SUMPRODUCT((HxA=$E17)*(ROW(HxA)))-ROW(HxA)+1</f>
        <v>2</v>
      </c>
      <c r="H17" s="53" t="str">
        <f t="shared" ref="H17:H34" si="22">INDEX(HxA,G17,1)</f>
        <v>T_01</v>
      </c>
      <c r="I17" s="53" t="str">
        <f t="shared" ref="I17:I34" si="23">INDEX(HxA,1,F17)</f>
        <v>T_04</v>
      </c>
      <c r="J17" s="54"/>
      <c r="K17" s="55">
        <v>43832</v>
      </c>
      <c r="L17" s="71"/>
      <c r="O17" s="122">
        <v>1</v>
      </c>
      <c r="P17" s="122" t="str">
        <f t="shared" ref="P17:Q34" ca="1" si="24">INDIRECT(H17)</f>
        <v>Assens</v>
      </c>
      <c r="Q17" s="122" t="str">
        <f t="shared" ca="1" si="24"/>
        <v>Dragør</v>
      </c>
      <c r="R17" s="161">
        <v>43832</v>
      </c>
      <c r="S17" s="162" t="s">
        <v>33</v>
      </c>
      <c r="T17" s="163">
        <v>1</v>
      </c>
      <c r="U17" s="164">
        <v>0</v>
      </c>
      <c r="V17" s="165">
        <v>4</v>
      </c>
      <c r="W17" s="121">
        <f t="shared" ref="W17:W34" si="25">IF(ISNUMBER(U17)*ISNUMBER(V17),IF(U17&gt;V17,ptv, IF(U17=V17,ptu,ptt)),"-")</f>
        <v>0</v>
      </c>
      <c r="X17" s="121">
        <f t="shared" ref="X17:X34" si="26">IF(ISNUMBER(U17)*ISNUMBER(V17),IF(W17=ptv,ptt,IF(W17=ptu,ptu,ptv)),"-")</f>
        <v>3</v>
      </c>
    </row>
    <row r="18" spans="1:24" ht="18" thickBot="1" x14ac:dyDescent="0.4">
      <c r="A18" s="13"/>
      <c r="B18" s="14"/>
      <c r="C18" s="67" t="s">
        <v>95</v>
      </c>
      <c r="D18" s="66">
        <f>OR(H18=H17,H18=I17,I18=H17,I18=I17)*1</f>
        <v>0</v>
      </c>
      <c r="E18" s="67">
        <v>2</v>
      </c>
      <c r="F18" s="68">
        <f t="shared" si="20"/>
        <v>4</v>
      </c>
      <c r="G18" s="68">
        <f t="shared" si="21"/>
        <v>3</v>
      </c>
      <c r="H18" s="69" t="str">
        <f t="shared" si="22"/>
        <v>T_02</v>
      </c>
      <c r="I18" s="69" t="str">
        <f t="shared" si="23"/>
        <v>T_03</v>
      </c>
      <c r="J18" s="69">
        <v>0</v>
      </c>
      <c r="K18" s="70">
        <f>$K$17+J18</f>
        <v>43832</v>
      </c>
      <c r="L18" s="71"/>
      <c r="O18" s="124">
        <v>2</v>
      </c>
      <c r="P18" s="124" t="str">
        <f t="shared" ca="1" si="24"/>
        <v>Bogense</v>
      </c>
      <c r="Q18" s="124" t="str">
        <f t="shared" ca="1" si="24"/>
        <v>Christiansfelt</v>
      </c>
      <c r="R18" s="135">
        <v>43832</v>
      </c>
      <c r="S18" s="125" t="str">
        <f>IFERROR(S17+mMin,"-")</f>
        <v>-</v>
      </c>
      <c r="T18" s="149">
        <v>2</v>
      </c>
      <c r="U18" s="150">
        <v>5</v>
      </c>
      <c r="V18" s="151">
        <v>5</v>
      </c>
      <c r="W18" s="126">
        <f t="shared" si="25"/>
        <v>1</v>
      </c>
      <c r="X18" s="126">
        <f t="shared" si="26"/>
        <v>1</v>
      </c>
    </row>
    <row r="19" spans="1:24" ht="17.399999999999999" x14ac:dyDescent="0.35">
      <c r="A19" s="13"/>
      <c r="B19" s="14"/>
      <c r="C19" s="63" t="s">
        <v>111</v>
      </c>
      <c r="D19" s="62">
        <f t="shared" ref="D19:D34" si="27">OR(H19=H18,H19=I18,I19=H18,I19=I18)*1</f>
        <v>1</v>
      </c>
      <c r="E19" s="63">
        <v>3</v>
      </c>
      <c r="F19" s="51">
        <f t="shared" si="20"/>
        <v>2</v>
      </c>
      <c r="G19" s="51">
        <f t="shared" si="21"/>
        <v>4</v>
      </c>
      <c r="H19" s="64" t="str">
        <f t="shared" si="22"/>
        <v>T_03</v>
      </c>
      <c r="I19" s="64" t="str">
        <f t="shared" si="23"/>
        <v>T_01</v>
      </c>
      <c r="J19" s="64">
        <v>0</v>
      </c>
      <c r="K19" s="65">
        <f t="shared" ref="K19:K38" si="28">$K$17+J19</f>
        <v>43832</v>
      </c>
      <c r="L19" s="71"/>
      <c r="O19" s="160">
        <v>3</v>
      </c>
      <c r="P19" s="160" t="str">
        <f t="shared" ca="1" si="24"/>
        <v>Christiansfelt</v>
      </c>
      <c r="Q19" s="160" t="str">
        <f t="shared" ca="1" si="24"/>
        <v>Assens</v>
      </c>
      <c r="R19" s="161">
        <v>43832</v>
      </c>
      <c r="S19" s="162" t="s">
        <v>33</v>
      </c>
      <c r="T19" s="163">
        <v>1</v>
      </c>
      <c r="U19" s="164">
        <v>3</v>
      </c>
      <c r="V19" s="165">
        <v>5</v>
      </c>
      <c r="W19" s="166">
        <f t="shared" si="25"/>
        <v>0</v>
      </c>
      <c r="X19" s="166">
        <f t="shared" si="26"/>
        <v>3</v>
      </c>
    </row>
    <row r="20" spans="1:24" ht="18" thickBot="1" x14ac:dyDescent="0.4">
      <c r="A20" s="13"/>
      <c r="B20" s="14"/>
      <c r="C20" s="67" t="s">
        <v>112</v>
      </c>
      <c r="D20" s="66">
        <f t="shared" si="27"/>
        <v>0</v>
      </c>
      <c r="E20" s="67">
        <v>4</v>
      </c>
      <c r="F20" s="68">
        <f t="shared" si="20"/>
        <v>3</v>
      </c>
      <c r="G20" s="68">
        <f t="shared" si="21"/>
        <v>5</v>
      </c>
      <c r="H20" s="69" t="str">
        <f t="shared" si="22"/>
        <v>T_04</v>
      </c>
      <c r="I20" s="69" t="str">
        <f t="shared" si="23"/>
        <v>T_02</v>
      </c>
      <c r="J20" s="69">
        <v>1</v>
      </c>
      <c r="K20" s="70">
        <f t="shared" si="28"/>
        <v>43833</v>
      </c>
      <c r="L20" s="71"/>
      <c r="O20" s="124">
        <v>4</v>
      </c>
      <c r="P20" s="124" t="str">
        <f t="shared" ca="1" si="24"/>
        <v>Dragør</v>
      </c>
      <c r="Q20" s="124" t="str">
        <f t="shared" ca="1" si="24"/>
        <v>Bogense</v>
      </c>
      <c r="R20" s="135">
        <v>43833</v>
      </c>
      <c r="S20" s="125" t="str">
        <f>IFERROR(S19+mMin,"-")</f>
        <v>-</v>
      </c>
      <c r="T20" s="149">
        <v>2</v>
      </c>
      <c r="U20" s="150">
        <v>4</v>
      </c>
      <c r="V20" s="151">
        <v>2</v>
      </c>
      <c r="W20" s="126">
        <f t="shared" si="25"/>
        <v>3</v>
      </c>
      <c r="X20" s="126">
        <f t="shared" si="26"/>
        <v>0</v>
      </c>
    </row>
    <row r="21" spans="1:24" ht="17.399999999999999" x14ac:dyDescent="0.35">
      <c r="A21" s="13"/>
      <c r="B21" s="14"/>
      <c r="C21" s="63" t="s">
        <v>116</v>
      </c>
      <c r="D21" s="62">
        <f t="shared" si="27"/>
        <v>1</v>
      </c>
      <c r="E21" s="63">
        <v>5</v>
      </c>
      <c r="F21" s="51">
        <f t="shared" si="20"/>
        <v>3</v>
      </c>
      <c r="G21" s="51">
        <f t="shared" si="21"/>
        <v>2</v>
      </c>
      <c r="H21" s="64" t="str">
        <f t="shared" si="22"/>
        <v>T_01</v>
      </c>
      <c r="I21" s="64" t="str">
        <f t="shared" si="23"/>
        <v>T_02</v>
      </c>
      <c r="J21" s="64">
        <v>1</v>
      </c>
      <c r="K21" s="65">
        <f t="shared" si="28"/>
        <v>43833</v>
      </c>
      <c r="L21" s="71"/>
      <c r="O21" s="160">
        <v>5</v>
      </c>
      <c r="P21" s="160" t="str">
        <f t="shared" ca="1" si="24"/>
        <v>Assens</v>
      </c>
      <c r="Q21" s="160" t="str">
        <f t="shared" ca="1" si="24"/>
        <v>Bogense</v>
      </c>
      <c r="R21" s="161">
        <v>43833</v>
      </c>
      <c r="S21" s="162" t="s">
        <v>33</v>
      </c>
      <c r="T21" s="163">
        <v>1</v>
      </c>
      <c r="U21" s="164">
        <v>5</v>
      </c>
      <c r="V21" s="165">
        <v>3</v>
      </c>
      <c r="W21" s="166">
        <f t="shared" si="25"/>
        <v>3</v>
      </c>
      <c r="X21" s="166">
        <f t="shared" si="26"/>
        <v>0</v>
      </c>
    </row>
    <row r="22" spans="1:24" ht="18" thickBot="1" x14ac:dyDescent="0.4">
      <c r="A22" s="13"/>
      <c r="B22" s="14"/>
      <c r="C22" s="67" t="s">
        <v>90</v>
      </c>
      <c r="D22" s="66">
        <f t="shared" si="27"/>
        <v>0</v>
      </c>
      <c r="E22" s="67">
        <v>6</v>
      </c>
      <c r="F22" s="68">
        <f t="shared" si="20"/>
        <v>5</v>
      </c>
      <c r="G22" s="68">
        <f t="shared" si="21"/>
        <v>4</v>
      </c>
      <c r="H22" s="69" t="str">
        <f t="shared" si="22"/>
        <v>T_03</v>
      </c>
      <c r="I22" s="69" t="str">
        <f t="shared" si="23"/>
        <v>T_04</v>
      </c>
      <c r="J22" s="69">
        <v>1</v>
      </c>
      <c r="K22" s="70">
        <f t="shared" si="28"/>
        <v>43833</v>
      </c>
      <c r="L22" s="71"/>
      <c r="O22" s="167">
        <v>6</v>
      </c>
      <c r="P22" s="167" t="str">
        <f t="shared" ca="1" si="24"/>
        <v>Christiansfelt</v>
      </c>
      <c r="Q22" s="167" t="str">
        <f t="shared" ca="1" si="24"/>
        <v>Dragør</v>
      </c>
      <c r="R22" s="168">
        <v>43833</v>
      </c>
      <c r="S22" s="169" t="str">
        <f>IFERROR(S21+mMin,"-")</f>
        <v>-</v>
      </c>
      <c r="T22" s="170">
        <v>2</v>
      </c>
      <c r="U22" s="171">
        <v>0</v>
      </c>
      <c r="V22" s="172">
        <v>3</v>
      </c>
      <c r="W22" s="173">
        <f t="shared" si="25"/>
        <v>0</v>
      </c>
      <c r="X22" s="173">
        <f t="shared" si="26"/>
        <v>3</v>
      </c>
    </row>
    <row r="23" spans="1:24" ht="17.399999999999999" x14ac:dyDescent="0.35">
      <c r="A23" s="13"/>
      <c r="B23" s="14"/>
      <c r="C23" s="63" t="s">
        <v>151</v>
      </c>
      <c r="D23" s="62">
        <f t="shared" si="27"/>
        <v>1</v>
      </c>
      <c r="E23" s="63">
        <v>7</v>
      </c>
      <c r="F23" s="51">
        <f t="shared" si="20"/>
        <v>2</v>
      </c>
      <c r="G23" s="51">
        <f t="shared" si="21"/>
        <v>5</v>
      </c>
      <c r="H23" s="64" t="str">
        <f t="shared" si="22"/>
        <v>T_04</v>
      </c>
      <c r="I23" s="64" t="str">
        <f t="shared" si="23"/>
        <v>T_01</v>
      </c>
      <c r="J23" s="64">
        <v>2</v>
      </c>
      <c r="K23" s="65">
        <f t="shared" si="28"/>
        <v>43834</v>
      </c>
      <c r="L23" s="71"/>
      <c r="O23" s="160">
        <v>7</v>
      </c>
      <c r="P23" s="160" t="str">
        <f t="shared" ca="1" si="24"/>
        <v>Dragør</v>
      </c>
      <c r="Q23" s="160" t="str">
        <f t="shared" ca="1" si="24"/>
        <v>Assens</v>
      </c>
      <c r="R23" s="161">
        <v>43834</v>
      </c>
      <c r="S23" s="162" t="s">
        <v>33</v>
      </c>
      <c r="T23" s="163">
        <v>1</v>
      </c>
      <c r="U23" s="164">
        <v>5</v>
      </c>
      <c r="V23" s="165">
        <v>3</v>
      </c>
      <c r="W23" s="166">
        <f t="shared" si="25"/>
        <v>3</v>
      </c>
      <c r="X23" s="166">
        <f t="shared" si="26"/>
        <v>0</v>
      </c>
    </row>
    <row r="24" spans="1:24" ht="18" thickBot="1" x14ac:dyDescent="0.4">
      <c r="A24" s="13"/>
      <c r="B24" s="14"/>
      <c r="C24" s="67" t="s">
        <v>140</v>
      </c>
      <c r="D24" s="66">
        <f t="shared" si="27"/>
        <v>0</v>
      </c>
      <c r="E24" s="67">
        <v>8</v>
      </c>
      <c r="F24" s="68">
        <f t="shared" si="20"/>
        <v>3</v>
      </c>
      <c r="G24" s="68">
        <f t="shared" si="21"/>
        <v>4</v>
      </c>
      <c r="H24" s="69" t="str">
        <f t="shared" si="22"/>
        <v>T_03</v>
      </c>
      <c r="I24" s="69" t="str">
        <f t="shared" si="23"/>
        <v>T_02</v>
      </c>
      <c r="J24" s="69">
        <v>2</v>
      </c>
      <c r="K24" s="70">
        <f t="shared" si="28"/>
        <v>43834</v>
      </c>
      <c r="L24" s="71"/>
      <c r="O24" s="124">
        <v>8</v>
      </c>
      <c r="P24" s="124" t="str">
        <f t="shared" ca="1" si="24"/>
        <v>Christiansfelt</v>
      </c>
      <c r="Q24" s="124" t="str">
        <f t="shared" ca="1" si="24"/>
        <v>Bogense</v>
      </c>
      <c r="R24" s="135">
        <v>43834</v>
      </c>
      <c r="S24" s="125" t="str">
        <f>IFERROR(S23+mMin,"-")</f>
        <v>-</v>
      </c>
      <c r="T24" s="149">
        <v>2</v>
      </c>
      <c r="U24" s="150">
        <v>1</v>
      </c>
      <c r="V24" s="151">
        <v>5</v>
      </c>
      <c r="W24" s="126">
        <f t="shared" si="25"/>
        <v>0</v>
      </c>
      <c r="X24" s="126">
        <f t="shared" si="26"/>
        <v>3</v>
      </c>
    </row>
    <row r="25" spans="1:24" ht="17.399999999999999" x14ac:dyDescent="0.35">
      <c r="A25" s="13"/>
      <c r="B25" s="14"/>
      <c r="C25" s="63" t="s">
        <v>156</v>
      </c>
      <c r="D25" s="62">
        <f t="shared" si="27"/>
        <v>1</v>
      </c>
      <c r="E25" s="63">
        <v>9</v>
      </c>
      <c r="F25" s="51">
        <f t="shared" si="20"/>
        <v>4</v>
      </c>
      <c r="G25" s="51">
        <f t="shared" si="21"/>
        <v>2</v>
      </c>
      <c r="H25" s="64" t="str">
        <f t="shared" si="22"/>
        <v>T_01</v>
      </c>
      <c r="I25" s="64" t="str">
        <f t="shared" si="23"/>
        <v>T_03</v>
      </c>
      <c r="J25" s="64">
        <v>2</v>
      </c>
      <c r="K25" s="65">
        <f t="shared" si="28"/>
        <v>43834</v>
      </c>
      <c r="L25" s="71"/>
      <c r="O25" s="160">
        <v>9</v>
      </c>
      <c r="P25" s="160" t="str">
        <f t="shared" ca="1" si="24"/>
        <v>Assens</v>
      </c>
      <c r="Q25" s="160" t="str">
        <f t="shared" ca="1" si="24"/>
        <v>Christiansfelt</v>
      </c>
      <c r="R25" s="161">
        <v>43834</v>
      </c>
      <c r="S25" s="162" t="s">
        <v>33</v>
      </c>
      <c r="T25" s="163">
        <v>1</v>
      </c>
      <c r="U25" s="164">
        <v>1</v>
      </c>
      <c r="V25" s="165">
        <v>4</v>
      </c>
      <c r="W25" s="166">
        <f t="shared" si="25"/>
        <v>0</v>
      </c>
      <c r="X25" s="166">
        <f t="shared" si="26"/>
        <v>3</v>
      </c>
    </row>
    <row r="26" spans="1:24" ht="18" thickBot="1" x14ac:dyDescent="0.4">
      <c r="A26" s="13"/>
      <c r="B26" s="14"/>
      <c r="C26" s="67" t="s">
        <v>157</v>
      </c>
      <c r="D26" s="66">
        <f t="shared" si="27"/>
        <v>0</v>
      </c>
      <c r="E26" s="67">
        <v>10</v>
      </c>
      <c r="F26" s="68">
        <f t="shared" si="20"/>
        <v>5</v>
      </c>
      <c r="G26" s="68">
        <f t="shared" si="21"/>
        <v>3</v>
      </c>
      <c r="H26" s="69" t="str">
        <f t="shared" si="22"/>
        <v>T_02</v>
      </c>
      <c r="I26" s="69" t="str">
        <f t="shared" si="23"/>
        <v>T_04</v>
      </c>
      <c r="J26" s="69">
        <v>3</v>
      </c>
      <c r="K26" s="70">
        <f t="shared" si="28"/>
        <v>43835</v>
      </c>
      <c r="L26" s="71"/>
      <c r="O26" s="124">
        <v>10</v>
      </c>
      <c r="P26" s="124" t="str">
        <f t="shared" ca="1" si="24"/>
        <v>Bogense</v>
      </c>
      <c r="Q26" s="124" t="str">
        <f t="shared" ca="1" si="24"/>
        <v>Dragør</v>
      </c>
      <c r="R26" s="135">
        <v>43835</v>
      </c>
      <c r="S26" s="125" t="str">
        <f>IFERROR(S25+mMin,"-")</f>
        <v>-</v>
      </c>
      <c r="T26" s="149">
        <v>2</v>
      </c>
      <c r="U26" s="150">
        <v>4</v>
      </c>
      <c r="V26" s="151">
        <v>2</v>
      </c>
      <c r="W26" s="126">
        <f t="shared" si="25"/>
        <v>3</v>
      </c>
      <c r="X26" s="126">
        <f t="shared" si="26"/>
        <v>0</v>
      </c>
    </row>
    <row r="27" spans="1:24" ht="17.399999999999999" x14ac:dyDescent="0.35">
      <c r="A27" s="13"/>
      <c r="B27" s="14"/>
      <c r="C27" s="63" t="s">
        <v>161</v>
      </c>
      <c r="D27" s="62">
        <f t="shared" si="27"/>
        <v>1</v>
      </c>
      <c r="E27" s="63">
        <v>11</v>
      </c>
      <c r="F27" s="51">
        <f t="shared" si="20"/>
        <v>2</v>
      </c>
      <c r="G27" s="51">
        <f t="shared" si="21"/>
        <v>3</v>
      </c>
      <c r="H27" s="64" t="str">
        <f t="shared" si="22"/>
        <v>T_02</v>
      </c>
      <c r="I27" s="64" t="str">
        <f t="shared" si="23"/>
        <v>T_01</v>
      </c>
      <c r="J27" s="64">
        <v>3</v>
      </c>
      <c r="K27" s="65">
        <f t="shared" si="28"/>
        <v>43835</v>
      </c>
      <c r="L27" s="71"/>
      <c r="O27" s="160">
        <v>11</v>
      </c>
      <c r="P27" s="160" t="str">
        <f t="shared" ca="1" si="24"/>
        <v>Bogense</v>
      </c>
      <c r="Q27" s="160" t="str">
        <f t="shared" ca="1" si="24"/>
        <v>Assens</v>
      </c>
      <c r="R27" s="161">
        <v>43835</v>
      </c>
      <c r="S27" s="162" t="s">
        <v>33</v>
      </c>
      <c r="T27" s="163">
        <v>1</v>
      </c>
      <c r="U27" s="164">
        <v>4</v>
      </c>
      <c r="V27" s="165">
        <v>2</v>
      </c>
      <c r="W27" s="166">
        <f t="shared" si="25"/>
        <v>3</v>
      </c>
      <c r="X27" s="166">
        <f t="shared" si="26"/>
        <v>0</v>
      </c>
    </row>
    <row r="28" spans="1:24" ht="18" thickBot="1" x14ac:dyDescent="0.4">
      <c r="A28" s="13"/>
      <c r="B28" s="14"/>
      <c r="C28" s="67" t="s">
        <v>135</v>
      </c>
      <c r="D28" s="66">
        <f t="shared" si="27"/>
        <v>0</v>
      </c>
      <c r="E28" s="67">
        <v>12</v>
      </c>
      <c r="F28" s="68">
        <f t="shared" si="20"/>
        <v>4</v>
      </c>
      <c r="G28" s="68">
        <f t="shared" si="21"/>
        <v>5</v>
      </c>
      <c r="H28" s="69" t="str">
        <f t="shared" si="22"/>
        <v>T_04</v>
      </c>
      <c r="I28" s="69" t="str">
        <f t="shared" si="23"/>
        <v>T_03</v>
      </c>
      <c r="J28" s="69">
        <v>3</v>
      </c>
      <c r="K28" s="70">
        <f t="shared" si="28"/>
        <v>43835</v>
      </c>
      <c r="L28" s="71"/>
      <c r="O28" s="167">
        <v>12</v>
      </c>
      <c r="P28" s="167" t="str">
        <f t="shared" ca="1" si="24"/>
        <v>Dragør</v>
      </c>
      <c r="Q28" s="167" t="str">
        <f t="shared" ca="1" si="24"/>
        <v>Christiansfelt</v>
      </c>
      <c r="R28" s="168">
        <v>43835</v>
      </c>
      <c r="S28" s="169" t="str">
        <f>IFERROR(S27+mMin,"-")</f>
        <v>-</v>
      </c>
      <c r="T28" s="170">
        <v>2</v>
      </c>
      <c r="U28" s="171">
        <v>2</v>
      </c>
      <c r="V28" s="172">
        <v>1</v>
      </c>
      <c r="W28" s="173">
        <f t="shared" si="25"/>
        <v>3</v>
      </c>
      <c r="X28" s="173">
        <f t="shared" si="26"/>
        <v>0</v>
      </c>
    </row>
    <row r="29" spans="1:24" ht="17.399999999999999" x14ac:dyDescent="0.35">
      <c r="A29" s="13"/>
      <c r="B29" s="14"/>
      <c r="C29" s="63" t="s">
        <v>151</v>
      </c>
      <c r="D29" s="62">
        <f t="shared" si="27"/>
        <v>1</v>
      </c>
      <c r="E29" s="63">
        <v>12</v>
      </c>
      <c r="F29" s="51">
        <f t="shared" si="20"/>
        <v>4</v>
      </c>
      <c r="G29" s="51">
        <f t="shared" si="21"/>
        <v>5</v>
      </c>
      <c r="H29" s="64" t="str">
        <f t="shared" si="22"/>
        <v>T_04</v>
      </c>
      <c r="I29" s="64" t="str">
        <f t="shared" si="23"/>
        <v>T_03</v>
      </c>
      <c r="J29" s="64">
        <v>4</v>
      </c>
      <c r="K29" s="65">
        <f t="shared" si="28"/>
        <v>43836</v>
      </c>
      <c r="L29" s="71"/>
      <c r="O29" s="160">
        <v>13</v>
      </c>
      <c r="P29" s="160" t="str">
        <f t="shared" ca="1" si="24"/>
        <v>Dragør</v>
      </c>
      <c r="Q29" s="160" t="str">
        <f t="shared" ca="1" si="24"/>
        <v>Christiansfelt</v>
      </c>
      <c r="R29" s="161">
        <v>43836</v>
      </c>
      <c r="S29" s="162" t="s">
        <v>33</v>
      </c>
      <c r="T29" s="163">
        <v>1</v>
      </c>
      <c r="U29" s="164">
        <v>2</v>
      </c>
      <c r="V29" s="165">
        <v>4</v>
      </c>
      <c r="W29" s="166">
        <f t="shared" si="25"/>
        <v>0</v>
      </c>
      <c r="X29" s="166">
        <f t="shared" si="26"/>
        <v>3</v>
      </c>
    </row>
    <row r="30" spans="1:24" ht="18" thickBot="1" x14ac:dyDescent="0.4">
      <c r="A30" s="13"/>
      <c r="B30" s="14"/>
      <c r="C30" s="67" t="s">
        <v>140</v>
      </c>
      <c r="D30" s="66">
        <f t="shared" si="27"/>
        <v>0</v>
      </c>
      <c r="E30" s="67">
        <v>11</v>
      </c>
      <c r="F30" s="68">
        <f t="shared" si="20"/>
        <v>2</v>
      </c>
      <c r="G30" s="68">
        <f t="shared" si="21"/>
        <v>3</v>
      </c>
      <c r="H30" s="69" t="str">
        <f t="shared" si="22"/>
        <v>T_02</v>
      </c>
      <c r="I30" s="69" t="str">
        <f t="shared" si="23"/>
        <v>T_01</v>
      </c>
      <c r="J30" s="69">
        <v>4</v>
      </c>
      <c r="K30" s="70">
        <f t="shared" si="28"/>
        <v>43836</v>
      </c>
      <c r="L30" s="71"/>
      <c r="O30" s="124">
        <v>14</v>
      </c>
      <c r="P30" s="124" t="str">
        <f t="shared" ca="1" si="24"/>
        <v>Bogense</v>
      </c>
      <c r="Q30" s="124" t="str">
        <f t="shared" ca="1" si="24"/>
        <v>Assens</v>
      </c>
      <c r="R30" s="135">
        <v>43836</v>
      </c>
      <c r="S30" s="125" t="str">
        <f>IFERROR(S29+mMin,"-")</f>
        <v>-</v>
      </c>
      <c r="T30" s="149">
        <v>2</v>
      </c>
      <c r="U30" s="150">
        <v>2</v>
      </c>
      <c r="V30" s="151">
        <v>5</v>
      </c>
      <c r="W30" s="126">
        <f t="shared" si="25"/>
        <v>0</v>
      </c>
      <c r="X30" s="126">
        <f t="shared" si="26"/>
        <v>3</v>
      </c>
    </row>
    <row r="31" spans="1:24" ht="17.399999999999999" x14ac:dyDescent="0.35">
      <c r="A31" s="13"/>
      <c r="B31" s="14"/>
      <c r="C31" s="63" t="s">
        <v>156</v>
      </c>
      <c r="D31" s="62">
        <f t="shared" si="27"/>
        <v>1</v>
      </c>
      <c r="E31" s="63">
        <v>10</v>
      </c>
      <c r="F31" s="51">
        <f t="shared" si="20"/>
        <v>5</v>
      </c>
      <c r="G31" s="51">
        <f t="shared" si="21"/>
        <v>3</v>
      </c>
      <c r="H31" s="64" t="str">
        <f t="shared" si="22"/>
        <v>T_02</v>
      </c>
      <c r="I31" s="64" t="str">
        <f t="shared" si="23"/>
        <v>T_04</v>
      </c>
      <c r="J31" s="64">
        <v>4</v>
      </c>
      <c r="K31" s="65">
        <f t="shared" si="28"/>
        <v>43836</v>
      </c>
      <c r="L31" s="71"/>
      <c r="O31" s="160">
        <v>15</v>
      </c>
      <c r="P31" s="160" t="str">
        <f t="shared" ca="1" si="24"/>
        <v>Bogense</v>
      </c>
      <c r="Q31" s="160" t="str">
        <f t="shared" ca="1" si="24"/>
        <v>Dragør</v>
      </c>
      <c r="R31" s="161">
        <v>43836</v>
      </c>
      <c r="S31" s="162" t="s">
        <v>33</v>
      </c>
      <c r="T31" s="163">
        <v>1</v>
      </c>
      <c r="U31" s="164">
        <v>1</v>
      </c>
      <c r="V31" s="165">
        <v>5</v>
      </c>
      <c r="W31" s="166">
        <f t="shared" si="25"/>
        <v>0</v>
      </c>
      <c r="X31" s="166">
        <f t="shared" si="26"/>
        <v>3</v>
      </c>
    </row>
    <row r="32" spans="1:24" ht="18" thickBot="1" x14ac:dyDescent="0.4">
      <c r="A32" s="13"/>
      <c r="B32" s="14"/>
      <c r="C32" s="67" t="s">
        <v>157</v>
      </c>
      <c r="D32" s="66">
        <f t="shared" si="27"/>
        <v>0</v>
      </c>
      <c r="E32" s="67">
        <v>9</v>
      </c>
      <c r="F32" s="68">
        <f t="shared" si="20"/>
        <v>4</v>
      </c>
      <c r="G32" s="68">
        <f t="shared" si="21"/>
        <v>2</v>
      </c>
      <c r="H32" s="69" t="str">
        <f t="shared" si="22"/>
        <v>T_01</v>
      </c>
      <c r="I32" s="69" t="str">
        <f t="shared" si="23"/>
        <v>T_03</v>
      </c>
      <c r="J32" s="69">
        <v>5</v>
      </c>
      <c r="K32" s="70">
        <f t="shared" si="28"/>
        <v>43837</v>
      </c>
      <c r="L32" s="71"/>
      <c r="O32" s="124">
        <v>16</v>
      </c>
      <c r="P32" s="124" t="str">
        <f t="shared" ca="1" si="24"/>
        <v>Assens</v>
      </c>
      <c r="Q32" s="124" t="str">
        <f t="shared" ca="1" si="24"/>
        <v>Christiansfelt</v>
      </c>
      <c r="R32" s="135">
        <v>43837</v>
      </c>
      <c r="S32" s="125" t="str">
        <f>IFERROR(S31+mMin,"-")</f>
        <v>-</v>
      </c>
      <c r="T32" s="149">
        <v>1</v>
      </c>
      <c r="U32" s="150">
        <v>4</v>
      </c>
      <c r="V32" s="151">
        <v>2</v>
      </c>
      <c r="W32" s="126">
        <f t="shared" si="25"/>
        <v>3</v>
      </c>
      <c r="X32" s="126">
        <f t="shared" si="26"/>
        <v>0</v>
      </c>
    </row>
    <row r="33" spans="1:24" ht="17.399999999999999" x14ac:dyDescent="0.35">
      <c r="A33" s="13"/>
      <c r="B33" s="14"/>
      <c r="C33" s="63" t="s">
        <v>161</v>
      </c>
      <c r="D33" s="62">
        <f t="shared" si="27"/>
        <v>1</v>
      </c>
      <c r="E33" s="63">
        <v>8</v>
      </c>
      <c r="F33" s="51">
        <f t="shared" si="20"/>
        <v>3</v>
      </c>
      <c r="G33" s="51">
        <f t="shared" si="21"/>
        <v>4</v>
      </c>
      <c r="H33" s="64" t="str">
        <f t="shared" si="22"/>
        <v>T_03</v>
      </c>
      <c r="I33" s="64" t="str">
        <f t="shared" si="23"/>
        <v>T_02</v>
      </c>
      <c r="J33" s="64">
        <v>5</v>
      </c>
      <c r="K33" s="65">
        <f t="shared" si="28"/>
        <v>43837</v>
      </c>
      <c r="L33" s="71"/>
      <c r="O33" s="160">
        <v>17</v>
      </c>
      <c r="P33" s="160" t="str">
        <f t="shared" ca="1" si="24"/>
        <v>Christiansfelt</v>
      </c>
      <c r="Q33" s="160" t="str">
        <f t="shared" ca="1" si="24"/>
        <v>Bogense</v>
      </c>
      <c r="R33" s="161">
        <v>43837</v>
      </c>
      <c r="S33" s="162" t="s">
        <v>33</v>
      </c>
      <c r="T33" s="163">
        <v>2</v>
      </c>
      <c r="U33" s="164">
        <v>2</v>
      </c>
      <c r="V33" s="165">
        <v>1</v>
      </c>
      <c r="W33" s="166">
        <f t="shared" si="25"/>
        <v>3</v>
      </c>
      <c r="X33" s="166">
        <f t="shared" si="26"/>
        <v>0</v>
      </c>
    </row>
    <row r="34" spans="1:24" ht="18" thickBot="1" x14ac:dyDescent="0.4">
      <c r="A34" s="13"/>
      <c r="B34" s="14"/>
      <c r="C34" s="67" t="s">
        <v>135</v>
      </c>
      <c r="D34" s="66">
        <f t="shared" si="27"/>
        <v>0</v>
      </c>
      <c r="E34" s="67">
        <v>7</v>
      </c>
      <c r="F34" s="68">
        <f t="shared" si="20"/>
        <v>2</v>
      </c>
      <c r="G34" s="68">
        <f t="shared" si="21"/>
        <v>5</v>
      </c>
      <c r="H34" s="69" t="str">
        <f t="shared" si="22"/>
        <v>T_04</v>
      </c>
      <c r="I34" s="69" t="str">
        <f t="shared" si="23"/>
        <v>T_01</v>
      </c>
      <c r="J34" s="69">
        <v>5</v>
      </c>
      <c r="K34" s="70">
        <f t="shared" si="28"/>
        <v>43837</v>
      </c>
      <c r="L34" s="71"/>
      <c r="O34" s="124">
        <v>18</v>
      </c>
      <c r="P34" s="124" t="str">
        <f t="shared" ca="1" si="24"/>
        <v>Dragør</v>
      </c>
      <c r="Q34" s="124" t="str">
        <f t="shared" ca="1" si="24"/>
        <v>Assens</v>
      </c>
      <c r="R34" s="135">
        <v>43837</v>
      </c>
      <c r="S34" s="169" t="str">
        <f>IFERROR(S33+mMin,"-")</f>
        <v>-</v>
      </c>
      <c r="T34" s="149">
        <v>1</v>
      </c>
      <c r="U34" s="150">
        <v>2</v>
      </c>
      <c r="V34" s="151">
        <v>4</v>
      </c>
      <c r="W34" s="126">
        <f t="shared" si="25"/>
        <v>0</v>
      </c>
      <c r="X34" s="126">
        <f t="shared" si="26"/>
        <v>3</v>
      </c>
    </row>
    <row r="35" spans="1:24" ht="18" thickBot="1" x14ac:dyDescent="0.4">
      <c r="H35" s="19" t="s">
        <v>34</v>
      </c>
      <c r="I35" s="19" t="s">
        <v>35</v>
      </c>
      <c r="J35" s="15"/>
      <c r="K35" s="17"/>
      <c r="L35" s="71"/>
      <c r="P35" s="92"/>
      <c r="Q35" s="92"/>
      <c r="R35" s="92"/>
      <c r="S35" s="5"/>
      <c r="T35" s="5"/>
      <c r="U35" s="18"/>
      <c r="V35" s="40"/>
    </row>
    <row r="36" spans="1:24" ht="18" thickBot="1" x14ac:dyDescent="0.4">
      <c r="H36" s="20" t="str">
        <f>IF(ISNUMBER(U36),IF(U36&gt;V36,P36,Q36),"")</f>
        <v/>
      </c>
      <c r="I36" s="20" t="str">
        <f>IF(ISNUMBER(U36),IF(H36=P36,Q36,P36),"")</f>
        <v/>
      </c>
      <c r="J36" s="15">
        <v>10</v>
      </c>
      <c r="K36" s="17">
        <f t="shared" si="28"/>
        <v>43842</v>
      </c>
      <c r="L36" s="71"/>
      <c r="O36" s="89" t="s">
        <v>64</v>
      </c>
      <c r="P36" s="90"/>
      <c r="Q36" s="90"/>
      <c r="R36" s="174">
        <v>41660</v>
      </c>
      <c r="S36" s="175">
        <v>0.54166666666666663</v>
      </c>
      <c r="T36" s="176">
        <v>2</v>
      </c>
      <c r="U36" s="177"/>
      <c r="V36" s="178"/>
      <c r="W36" s="21" t="str">
        <f t="shared" ref="W36" si="29">IF(ISNUMBER(U36)*ISNUMBER(V36),IF(U36&gt;V36,ptv, IF(U36=V36,ptu,ptt)),"-")</f>
        <v>-</v>
      </c>
      <c r="X36" s="21" t="str">
        <f t="shared" ref="X36" si="30">IF(ISNUMBER(U36)*ISNUMBER(V36),IF(W36=ptv,ptt,IF(W36=ptu,ptu,ptv)),"-")</f>
        <v>-</v>
      </c>
    </row>
    <row r="37" spans="1:24" ht="15" thickBot="1" x14ac:dyDescent="0.25">
      <c r="H37" s="19" t="s">
        <v>36</v>
      </c>
      <c r="I37" s="19" t="s">
        <v>37</v>
      </c>
      <c r="J37" s="15"/>
      <c r="K37" s="17"/>
      <c r="L37" s="71"/>
      <c r="P37" s="92"/>
      <c r="Q37" s="92"/>
      <c r="R37" s="92"/>
      <c r="S37" s="5"/>
      <c r="T37" s="5"/>
      <c r="U37" s="5"/>
      <c r="V37" s="94"/>
    </row>
    <row r="38" spans="1:24" ht="18" thickBot="1" x14ac:dyDescent="0.4">
      <c r="H38" s="20" t="str">
        <f>IF(ISNUMBER(U38),IF(U38&gt;V38,P38,Q38),"")</f>
        <v/>
      </c>
      <c r="I38" s="20" t="str">
        <f>IF(ISNUMBER(U38),IF(H38=P38,Q38,P38),"")</f>
        <v/>
      </c>
      <c r="J38" s="15">
        <v>11</v>
      </c>
      <c r="K38" s="17">
        <f t="shared" si="28"/>
        <v>43843</v>
      </c>
      <c r="L38" s="71"/>
      <c r="O38" s="88" t="s">
        <v>175</v>
      </c>
      <c r="P38" s="90"/>
      <c r="Q38" s="90"/>
      <c r="R38" s="174">
        <v>41661</v>
      </c>
      <c r="S38" s="175">
        <v>0.54166666666666663</v>
      </c>
      <c r="T38" s="176">
        <v>2</v>
      </c>
      <c r="U38" s="177"/>
      <c r="V38" s="178"/>
      <c r="W38" s="21" t="str">
        <f t="shared" ref="W38" si="31">IF(ISNUMBER(U38)*ISNUMBER(V38),IF(U38&gt;V38,ptv, IF(U38=V38,ptu,ptt)),"-")</f>
        <v>-</v>
      </c>
      <c r="X38" s="21" t="str">
        <f t="shared" ref="X38" si="32">IF(ISNUMBER(U38)*ISNUMBER(V38),IF(W38=ptv,ptt,IF(W38=ptu,ptu,ptv)),"-")</f>
        <v>-</v>
      </c>
    </row>
    <row r="39" spans="1:24" ht="14.4" x14ac:dyDescent="0.2">
      <c r="L39" s="71"/>
    </row>
  </sheetData>
  <sheetProtection sheet="1" objects="1" scenarios="1"/>
  <conditionalFormatting sqref="D21 D23 D25 D27">
    <cfRule type="expression" dxfId="93" priority="4">
      <formula>D21=1</formula>
    </cfRule>
  </conditionalFormatting>
  <conditionalFormatting sqref="D18:D19">
    <cfRule type="expression" dxfId="92" priority="9">
      <formula>D18=1</formula>
    </cfRule>
  </conditionalFormatting>
  <conditionalFormatting sqref="B11:E14">
    <cfRule type="duplicateValues" dxfId="91" priority="55"/>
    <cfRule type="expression" dxfId="90" priority="56">
      <formula>AND(B11&lt;=$E$8,ISNUMBER(B11))</formula>
    </cfRule>
  </conditionalFormatting>
  <conditionalFormatting sqref="L3:L6">
    <cfRule type="duplicateValues" dxfId="89" priority="57"/>
  </conditionalFormatting>
  <conditionalFormatting sqref="M3:M6">
    <cfRule type="duplicateValues" dxfId="88" priority="58"/>
  </conditionalFormatting>
  <conditionalFormatting sqref="D20">
    <cfRule type="expression" dxfId="87" priority="8">
      <formula>D20=1</formula>
    </cfRule>
  </conditionalFormatting>
  <conditionalFormatting sqref="D19">
    <cfRule type="expression" dxfId="86" priority="7">
      <formula>D19=1</formula>
    </cfRule>
  </conditionalFormatting>
  <conditionalFormatting sqref="D21 D23 D25 D27">
    <cfRule type="expression" dxfId="85" priority="6">
      <formula>D21=1</formula>
    </cfRule>
  </conditionalFormatting>
  <conditionalFormatting sqref="D22 D24 D26 D28">
    <cfRule type="expression" dxfId="84" priority="5">
      <formula>D22=1</formula>
    </cfRule>
  </conditionalFormatting>
  <conditionalFormatting sqref="D29 D31 D33">
    <cfRule type="expression" dxfId="83" priority="3">
      <formula>D29=1</formula>
    </cfRule>
  </conditionalFormatting>
  <conditionalFormatting sqref="D30 D32 D34">
    <cfRule type="expression" dxfId="82" priority="2">
      <formula>D30=1</formula>
    </cfRule>
  </conditionalFormatting>
  <conditionalFormatting sqref="D29 D31 D33">
    <cfRule type="expression" dxfId="81" priority="1">
      <formula>D29=1</formula>
    </cfRule>
  </conditionalFormatting>
  <dataValidations count="1">
    <dataValidation type="list" allowBlank="1" showInputMessage="1" showErrorMessage="1" sqref="P36:Q36 P38:Q38" xr:uid="{2220AFEB-DB50-4FE7-9C08-7FBF6165F001}">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A5D0-3913-431F-8ACC-DE101D9B3D85}">
  <sheetPr codeName="grp04x4">
    <tabColor theme="6" tint="-0.249977111117893"/>
    <outlinePr showOutlineSymbols="0"/>
    <pageSetUpPr fitToPage="1"/>
  </sheetPr>
  <dimension ref="A1:X45"/>
  <sheetViews>
    <sheetView showGridLines="0" showRowColHeaders="0" showOutlineSymbols="0" zoomScaleNormal="100" zoomScaleSheetLayoutView="100" workbookViewId="0">
      <pane ySplit="16" topLeftCell="A17" activePane="bottomLeft" state="frozen"/>
      <selection activeCell="L43" sqref="L43"/>
      <selection pane="bottomLeft" activeCell="P17" sqref="P17"/>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3" hidden="1" customWidth="1" outlineLevel="1"/>
    <col min="13" max="13" width="4.6328125" hidden="1" customWidth="1" outlineLevel="1"/>
    <col min="14" max="14" width="3.6328125" customWidth="1" collapsed="1"/>
    <col min="15" max="15" width="3.906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I1" s="183"/>
      <c r="J1" s="183"/>
      <c r="K1" s="183"/>
      <c r="L1" t="s">
        <v>192</v>
      </c>
      <c r="M1" s="183"/>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6" si="0">INDEX(xTeams,A3,1)</f>
        <v>Assens</v>
      </c>
      <c r="C3" s="96">
        <f t="shared" ref="C3" ca="1" si="1">SUMIF(team1,teams,goals1)+SUMIF(team2,teams,goals2)</f>
        <v>33</v>
      </c>
      <c r="D3" s="96">
        <f t="shared" ref="D3" ca="1" si="2">SUMIF(team1,teams,goals2)+SUMIF(team2,teams,goals1)</f>
        <v>40</v>
      </c>
      <c r="E3" s="104">
        <f t="shared" ref="E3:E6" ca="1" si="3">SUMIFS(
   points1,team1,teams
) +
  SUMIFS(points2,team2,teams)</f>
        <v>15</v>
      </c>
      <c r="F3" s="96">
        <f t="shared" ref="F3:F6" ca="1" si="4">C3-D3</f>
        <v>-7</v>
      </c>
      <c r="G3" s="96">
        <f t="shared" ref="G3:G6" ca="1" si="5">COUNTIFS(team1,$B3,points1,"&gt;=0")+COUNTIFS(team2,$B3,points2,"&gt;=0")</f>
        <v>12</v>
      </c>
      <c r="H3" s="105">
        <f ca="1">IF(G3=0,1,0)</f>
        <v>0</v>
      </c>
      <c r="I3" s="105">
        <f ca="1">RANK($E3,$E$3:$E$6,0)</f>
        <v>3</v>
      </c>
      <c r="J3" s="98">
        <f ca="1">RANK($F3,$F$3:$F$6,0)/10</f>
        <v>0.4</v>
      </c>
      <c r="K3" s="99">
        <f ca="1">RANK($C3,$C$3:$C$6,0)/100</f>
        <v>0.03</v>
      </c>
      <c r="L3" s="99">
        <f ca="1">SUM(H3:K3)</f>
        <v>3.4299999999999997</v>
      </c>
      <c r="M3" s="96">
        <f ca="1">RANK($L3,$L$3:$L$6,1) + COUNTIF($L$3:$L3,$L3)-1</f>
        <v>3</v>
      </c>
    </row>
    <row r="4" spans="1:24" hidden="1" outlineLevel="1" x14ac:dyDescent="0.2">
      <c r="A4" s="103">
        <v>2</v>
      </c>
      <c r="B4" s="103" t="str">
        <f t="shared" si="0"/>
        <v>Bogense</v>
      </c>
      <c r="C4" s="96">
        <f t="shared" ref="C4:C6" ca="1" si="6">SUMIF(team1,teams,goals1)+SUMIF(team2,teams,goals2)</f>
        <v>36</v>
      </c>
      <c r="D4" s="96">
        <f t="shared" ref="D4:D6" ca="1" si="7">SUMIF(team1,teams,goals2)+SUMIF(team2,teams,goals1)</f>
        <v>40</v>
      </c>
      <c r="E4" s="104">
        <f t="shared" ca="1" si="3"/>
        <v>13</v>
      </c>
      <c r="F4" s="96">
        <f t="shared" ca="1" si="4"/>
        <v>-4</v>
      </c>
      <c r="G4" s="96">
        <f t="shared" ca="1" si="5"/>
        <v>12</v>
      </c>
      <c r="H4" s="105">
        <f t="shared" ref="H4:H6" ca="1" si="8">IF(G4=0,1,0)</f>
        <v>0</v>
      </c>
      <c r="I4" s="105">
        <f ca="1">RANK($E4,$E$3:$E$6,0)</f>
        <v>4</v>
      </c>
      <c r="J4" s="98">
        <f ca="1">RANK($F4,$F$3:$F$6,0)/10</f>
        <v>0.2</v>
      </c>
      <c r="K4" s="99">
        <f ca="1">RANK($C4,$C$3:$C$6,0)/100</f>
        <v>0.02</v>
      </c>
      <c r="L4" s="99">
        <f t="shared" ref="L4:L6" ca="1" si="9">SUM(H4:K4)</f>
        <v>4.22</v>
      </c>
      <c r="M4" s="96">
        <f ca="1">RANK($L4,$L$3:$L$6,1) + COUNTIF($L$3:$L4,$L4)-1</f>
        <v>4</v>
      </c>
    </row>
    <row r="5" spans="1:24" hidden="1" outlineLevel="1" x14ac:dyDescent="0.2">
      <c r="A5" s="103">
        <v>3</v>
      </c>
      <c r="B5" s="103" t="str">
        <f t="shared" si="0"/>
        <v>Christiansfelt</v>
      </c>
      <c r="C5" s="96">
        <f t="shared" ca="1" si="6"/>
        <v>30</v>
      </c>
      <c r="D5" s="96">
        <f t="shared" ca="1" si="7"/>
        <v>36</v>
      </c>
      <c r="E5" s="104">
        <f t="shared" ca="1" si="3"/>
        <v>16</v>
      </c>
      <c r="F5" s="96">
        <f t="shared" ca="1" si="4"/>
        <v>-6</v>
      </c>
      <c r="G5" s="96">
        <f t="shared" ca="1" si="5"/>
        <v>12</v>
      </c>
      <c r="H5" s="105">
        <f t="shared" ca="1" si="8"/>
        <v>0</v>
      </c>
      <c r="I5" s="105">
        <f ca="1">RANK($E5,$E$3:$E$6,0)</f>
        <v>2</v>
      </c>
      <c r="J5" s="98">
        <f ca="1">RANK($F5,$F$3:$F$6,0)/10</f>
        <v>0.3</v>
      </c>
      <c r="K5" s="99">
        <f ca="1">RANK($C5,$C$3:$C$6,0)/100</f>
        <v>0.04</v>
      </c>
      <c r="L5" s="99">
        <f t="shared" ca="1" si="9"/>
        <v>2.34</v>
      </c>
      <c r="M5" s="96">
        <f ca="1">RANK($L5,$L$3:$L$6,1) + COUNTIF($L$3:$L5,$L5)-1</f>
        <v>2</v>
      </c>
    </row>
    <row r="6" spans="1:24" hidden="1" outlineLevel="1" x14ac:dyDescent="0.2">
      <c r="A6" s="103">
        <v>4</v>
      </c>
      <c r="B6" s="103" t="str">
        <f t="shared" si="0"/>
        <v>Dragør</v>
      </c>
      <c r="C6" s="96">
        <f t="shared" ca="1" si="6"/>
        <v>43</v>
      </c>
      <c r="D6" s="96">
        <f t="shared" ca="1" si="7"/>
        <v>26</v>
      </c>
      <c r="E6" s="104">
        <f t="shared" ca="1" si="3"/>
        <v>27</v>
      </c>
      <c r="F6" s="96">
        <f t="shared" ca="1" si="4"/>
        <v>17</v>
      </c>
      <c r="G6" s="96">
        <f t="shared" ca="1" si="5"/>
        <v>12</v>
      </c>
      <c r="H6" s="105">
        <f t="shared" ca="1" si="8"/>
        <v>0</v>
      </c>
      <c r="I6" s="105">
        <f ca="1">RANK($E6,$E$3:$E$6,0)</f>
        <v>1</v>
      </c>
      <c r="J6" s="98">
        <f ca="1">RANK($F6,$F$3:$F$6,0)/10</f>
        <v>0.1</v>
      </c>
      <c r="K6" s="99">
        <f ca="1">RANK($C6,$C$3:$C$6,0)/100</f>
        <v>0.01</v>
      </c>
      <c r="L6" s="99">
        <f t="shared" ca="1" si="9"/>
        <v>1.1100000000000001</v>
      </c>
      <c r="M6" s="96">
        <f ca="1">RANK($L6,$L$3:$L$6,1) + COUNTIF($L$3:$L6,$L6)-1</f>
        <v>1</v>
      </c>
    </row>
    <row r="7" spans="1:24" ht="13.2" collapsed="1" thickBot="1" x14ac:dyDescent="0.25">
      <c r="O7"/>
      <c r="P7"/>
      <c r="Q7"/>
      <c r="R7"/>
    </row>
    <row r="8" spans="1:24" s="4" customFormat="1" ht="24" thickBot="1" x14ac:dyDescent="0.5">
      <c r="A8" s="42" t="s">
        <v>168</v>
      </c>
      <c r="B8" s="74">
        <v>6</v>
      </c>
      <c r="C8" s="72"/>
      <c r="D8" s="73" t="s">
        <v>65</v>
      </c>
      <c r="E8" s="74">
        <f>(B8/2)*(B8-1)</f>
        <v>15</v>
      </c>
      <c r="O8" s="75" t="str">
        <f>TurneringsNavn</f>
        <v>Forårsstævne</v>
      </c>
      <c r="P8" s="5"/>
      <c r="Q8" s="5"/>
      <c r="R8" s="5"/>
      <c r="S8" s="5"/>
      <c r="T8" s="5"/>
      <c r="U8" s="5"/>
      <c r="V8" s="5"/>
      <c r="W8" s="5"/>
      <c r="X8" s="5"/>
    </row>
    <row r="9" spans="1:24" ht="6.75" customHeight="1" x14ac:dyDescent="0.2">
      <c r="O9"/>
      <c r="P9"/>
      <c r="Q9"/>
      <c r="R9"/>
    </row>
    <row r="10" spans="1:24" ht="13.8" x14ac:dyDescent="0.25">
      <c r="B10" s="6" t="s">
        <v>66</v>
      </c>
      <c r="C10" s="6" t="s">
        <v>67</v>
      </c>
      <c r="D10" s="6" t="s">
        <v>68</v>
      </c>
      <c r="E10" s="6" t="s">
        <v>69</v>
      </c>
      <c r="F10" s="7" t="s">
        <v>2</v>
      </c>
      <c r="G10" s="6" t="s">
        <v>3</v>
      </c>
      <c r="H10" s="6" t="s">
        <v>4</v>
      </c>
      <c r="I10" s="6" t="s">
        <v>167</v>
      </c>
      <c r="L10" s="6"/>
      <c r="M10" s="6"/>
      <c r="O10" s="128" t="s">
        <v>198</v>
      </c>
      <c r="P10" s="129" t="s">
        <v>176</v>
      </c>
      <c r="Q10" s="129"/>
      <c r="R10" s="130" t="s">
        <v>5</v>
      </c>
      <c r="S10" s="128" t="s">
        <v>6</v>
      </c>
      <c r="T10" s="128" t="s">
        <v>7</v>
      </c>
      <c r="U10" s="128" t="s">
        <v>8</v>
      </c>
      <c r="V10" s="128" t="s">
        <v>9</v>
      </c>
      <c r="W10" s="128" t="s">
        <v>10</v>
      </c>
      <c r="X10" s="131" t="s">
        <v>177</v>
      </c>
    </row>
    <row r="11" spans="1:24" ht="17.399999999999999" x14ac:dyDescent="0.35">
      <c r="A11" s="6" t="s">
        <v>66</v>
      </c>
      <c r="B11" s="8"/>
      <c r="C11" s="9">
        <v>5</v>
      </c>
      <c r="D11" s="9">
        <v>9</v>
      </c>
      <c r="E11" s="9">
        <v>1</v>
      </c>
      <c r="F11" s="10" t="str">
        <f ca="1">IFERROR(CHOOSE((P11=H$44)*1+(P11=I$44)*2+(P11=H$42)*3,"Guld","Sølv","Bronze"),"")</f>
        <v/>
      </c>
      <c r="G11" s="11">
        <f t="shared" ref="G11:H14" ca="1" si="10">COUNTIF(P$17:P$31,$B3)</f>
        <v>3</v>
      </c>
      <c r="H11" s="11">
        <f t="shared" ca="1" si="10"/>
        <v>4</v>
      </c>
      <c r="I11" s="11">
        <f ca="1">SUM(G11:H11)</f>
        <v>7</v>
      </c>
      <c r="L11" s="11"/>
      <c r="M11" s="11"/>
      <c r="O11" s="119">
        <v>1</v>
      </c>
      <c r="P11" s="120" t="str">
        <f ca="1" xml:space="preserve">  INDEX(teams,MATCH(rankNum,actRank,0))</f>
        <v>Dragør</v>
      </c>
      <c r="Q11" s="120"/>
      <c r="R11" s="127">
        <f t="shared" ref="R11:R14" ca="1" si="11">COUNTIFS(team1,teamName,points1,"&gt;=0")+COUNTIFS(team2,teamName,points2,"&gt;=0")</f>
        <v>12</v>
      </c>
      <c r="S11" s="143">
        <f t="shared" ref="S11:S14" ca="1" si="12">COUNTIFS(team1,teamName,points1,ptv)+COUNTIFS(team2,teamName,points2,ptv)</f>
        <v>9</v>
      </c>
      <c r="T11" s="121">
        <f t="shared" ref="T11:T14" ca="1" si="13">COUNTIFS(team1,teamName,points1,ptu)+COUNTIFS(team2,teamName,points2,ptu)</f>
        <v>0</v>
      </c>
      <c r="U11" s="121">
        <f t="shared" ref="U11:U14" ca="1" si="14">COUNTIFS(team1,teamName,points1,ptt)+COUNTIFS(team2,teamName,points2,ptt)</f>
        <v>3</v>
      </c>
      <c r="V11" s="143">
        <f t="shared" ref="V11:V14" ca="1" si="15">SUMIF(team1,teamName,goals1)+SUMIF(team2,teamName,goals2)</f>
        <v>43</v>
      </c>
      <c r="W11" s="121">
        <f t="shared" ref="W11:W14" ca="1" si="16">SUMIF(team1,teamName,goals2)+SUMIF(team2,teamName,goals1)</f>
        <v>26</v>
      </c>
      <c r="X11" s="144">
        <f t="shared" ref="X11:X14" ca="1" si="17">SUMIFS(points1,team1,teamName)+SUMIFS(points2,team2,teamName)</f>
        <v>27</v>
      </c>
    </row>
    <row r="12" spans="1:24" ht="17.399999999999999" x14ac:dyDescent="0.35">
      <c r="A12" s="6" t="s">
        <v>67</v>
      </c>
      <c r="B12" s="9">
        <v>11</v>
      </c>
      <c r="C12" s="8"/>
      <c r="D12" s="9">
        <v>2</v>
      </c>
      <c r="E12" s="9">
        <v>10</v>
      </c>
      <c r="F12" s="10" t="str">
        <f ca="1">IFERROR(CHOOSE((P12=H$44)*1+(P12=I$44)*2+(P12=H$42)*3,"Guld","Sølv","Bronze"),"")</f>
        <v/>
      </c>
      <c r="G12" s="11">
        <f t="shared" ca="1" si="10"/>
        <v>5</v>
      </c>
      <c r="H12" s="11">
        <f t="shared" ca="1" si="10"/>
        <v>3</v>
      </c>
      <c r="I12" s="11">
        <f t="shared" ref="I12:I14" ca="1" si="18">SUM(G12:H12)</f>
        <v>8</v>
      </c>
      <c r="L12" s="11"/>
      <c r="M12" s="11"/>
      <c r="O12" s="119">
        <v>2</v>
      </c>
      <c r="P12" s="120" t="str">
        <f t="shared" ref="P12:P14" ca="1" si="19" xml:space="preserve">  INDEX(teams,MATCH(rankNum,actRank,0))</f>
        <v>Christiansfelt</v>
      </c>
      <c r="Q12" s="120"/>
      <c r="R12" s="127">
        <f t="shared" ca="1" si="11"/>
        <v>12</v>
      </c>
      <c r="S12" s="143">
        <f t="shared" ca="1" si="12"/>
        <v>5</v>
      </c>
      <c r="T12" s="121">
        <f t="shared" ca="1" si="13"/>
        <v>1</v>
      </c>
      <c r="U12" s="121">
        <f t="shared" ca="1" si="14"/>
        <v>6</v>
      </c>
      <c r="V12" s="143">
        <f t="shared" ca="1" si="15"/>
        <v>30</v>
      </c>
      <c r="W12" s="121">
        <f t="shared" ca="1" si="16"/>
        <v>36</v>
      </c>
      <c r="X12" s="144">
        <f t="shared" ca="1" si="17"/>
        <v>16</v>
      </c>
    </row>
    <row r="13" spans="1:24" ht="17.399999999999999" x14ac:dyDescent="0.35">
      <c r="A13" s="6" t="s">
        <v>68</v>
      </c>
      <c r="B13" s="9">
        <v>3</v>
      </c>
      <c r="C13" s="9">
        <v>8</v>
      </c>
      <c r="D13" s="8"/>
      <c r="E13" s="9">
        <v>6</v>
      </c>
      <c r="F13" s="10" t="str">
        <f ca="1">IFERROR(CHOOSE((P13=H$44)*1+(P13=I$44)*2+(P13=H$42)*3,"Guld","Sølv","Bronze"),"")</f>
        <v/>
      </c>
      <c r="G13" s="11">
        <f t="shared" ca="1" si="10"/>
        <v>3</v>
      </c>
      <c r="H13" s="11">
        <f t="shared" ca="1" si="10"/>
        <v>4</v>
      </c>
      <c r="I13" s="11">
        <f t="shared" ca="1" si="18"/>
        <v>7</v>
      </c>
      <c r="L13" s="11"/>
      <c r="M13" s="11"/>
      <c r="O13" s="119">
        <v>3</v>
      </c>
      <c r="P13" s="120" t="str">
        <f t="shared" ca="1" si="19"/>
        <v>Assens</v>
      </c>
      <c r="Q13" s="120"/>
      <c r="R13" s="127">
        <f t="shared" ca="1" si="11"/>
        <v>12</v>
      </c>
      <c r="S13" s="143">
        <f t="shared" ca="1" si="12"/>
        <v>5</v>
      </c>
      <c r="T13" s="121">
        <f t="shared" ca="1" si="13"/>
        <v>0</v>
      </c>
      <c r="U13" s="121">
        <f t="shared" ca="1" si="14"/>
        <v>7</v>
      </c>
      <c r="V13" s="143">
        <f t="shared" ca="1" si="15"/>
        <v>33</v>
      </c>
      <c r="W13" s="121">
        <f t="shared" ca="1" si="16"/>
        <v>40</v>
      </c>
      <c r="X13" s="144">
        <f t="shared" ca="1" si="17"/>
        <v>15</v>
      </c>
    </row>
    <row r="14" spans="1:24" ht="17.399999999999999" x14ac:dyDescent="0.35">
      <c r="A14" s="6" t="s">
        <v>69</v>
      </c>
      <c r="B14" s="9">
        <v>7</v>
      </c>
      <c r="C14" s="9">
        <v>4</v>
      </c>
      <c r="D14" s="9">
        <v>12</v>
      </c>
      <c r="E14" s="8"/>
      <c r="F14" s="10" t="str">
        <f ca="1">IFERROR(CHOOSE((P14=H$44)*1+(P14=I$44)*2+(P14=H$42)*3,"Guld","Sølv","Bronze"),"")</f>
        <v/>
      </c>
      <c r="G14" s="11">
        <f t="shared" ca="1" si="10"/>
        <v>4</v>
      </c>
      <c r="H14" s="11">
        <f t="shared" ca="1" si="10"/>
        <v>4</v>
      </c>
      <c r="I14" s="11">
        <f t="shared" ca="1" si="18"/>
        <v>8</v>
      </c>
      <c r="L14" s="11"/>
      <c r="M14" s="11"/>
      <c r="O14" s="119">
        <v>4</v>
      </c>
      <c r="P14" s="120" t="str">
        <f t="shared" ca="1" si="19"/>
        <v>Bogense</v>
      </c>
      <c r="Q14" s="120"/>
      <c r="R14" s="127">
        <f t="shared" ca="1" si="11"/>
        <v>12</v>
      </c>
      <c r="S14" s="143">
        <f t="shared" ca="1" si="12"/>
        <v>4</v>
      </c>
      <c r="T14" s="121">
        <f t="shared" ca="1" si="13"/>
        <v>1</v>
      </c>
      <c r="U14" s="121">
        <f t="shared" ca="1" si="14"/>
        <v>7</v>
      </c>
      <c r="V14" s="143">
        <f t="shared" ca="1" si="15"/>
        <v>36</v>
      </c>
      <c r="W14" s="121">
        <f t="shared" ca="1" si="16"/>
        <v>40</v>
      </c>
      <c r="X14" s="144">
        <f t="shared" ca="1" si="17"/>
        <v>13</v>
      </c>
    </row>
    <row r="15" spans="1:24" x14ac:dyDescent="0.2">
      <c r="O15"/>
      <c r="P15"/>
      <c r="Q15"/>
      <c r="R15"/>
    </row>
    <row r="16" spans="1:24" s="12" customFormat="1" ht="15" thickBot="1" x14ac:dyDescent="0.35">
      <c r="C16" s="44" t="s">
        <v>17</v>
      </c>
      <c r="D16" s="45" t="s">
        <v>18</v>
      </c>
      <c r="E16" s="61" t="s">
        <v>19</v>
      </c>
      <c r="F16" s="47" t="s">
        <v>20</v>
      </c>
      <c r="G16" s="47" t="s">
        <v>21</v>
      </c>
      <c r="H16" s="47" t="s">
        <v>22</v>
      </c>
      <c r="I16" s="47" t="s">
        <v>23</v>
      </c>
      <c r="J16" s="48" t="s">
        <v>24</v>
      </c>
      <c r="K16" s="49" t="s">
        <v>25</v>
      </c>
      <c r="L16" s="49"/>
      <c r="O16" s="140" t="s">
        <v>5</v>
      </c>
      <c r="P16" s="139" t="s">
        <v>26</v>
      </c>
      <c r="Q16" s="139" t="s">
        <v>27</v>
      </c>
      <c r="R16" s="179" t="s">
        <v>28</v>
      </c>
      <c r="S16" s="179" t="s">
        <v>29</v>
      </c>
      <c r="T16" s="179" t="s">
        <v>30</v>
      </c>
      <c r="U16" s="180" t="s">
        <v>31</v>
      </c>
      <c r="V16" s="180" t="s">
        <v>31</v>
      </c>
      <c r="W16" s="138" t="s">
        <v>32</v>
      </c>
      <c r="X16" s="138" t="s">
        <v>32</v>
      </c>
    </row>
    <row r="17" spans="1:24" ht="17.399999999999999" x14ac:dyDescent="0.35">
      <c r="A17" s="13"/>
      <c r="B17" s="14"/>
      <c r="C17" s="50" t="s">
        <v>106</v>
      </c>
      <c r="D17" s="51"/>
      <c r="E17" s="50">
        <v>1</v>
      </c>
      <c r="F17" s="52">
        <f t="shared" ref="F17:F40" si="20">SUMPRODUCT((HxA=$E17)*(COLUMN(HxA)))-COLUMN(HxA)+1</f>
        <v>5</v>
      </c>
      <c r="G17" s="52">
        <f t="shared" ref="G17:G40" si="21">SUMPRODUCT((HxA=$E17)*(ROW(HxA)))-ROW(HxA)+1</f>
        <v>2</v>
      </c>
      <c r="H17" s="53" t="str">
        <f t="shared" ref="H17:H40" si="22">INDEX(HxA,G17,1)</f>
        <v>T_01</v>
      </c>
      <c r="I17" s="53" t="str">
        <f t="shared" ref="I17:I40" si="23">INDEX(HxA,1,F17)</f>
        <v>T_04</v>
      </c>
      <c r="J17" s="54"/>
      <c r="K17" s="55">
        <v>43832</v>
      </c>
      <c r="L17" s="71"/>
      <c r="O17" s="122">
        <v>1</v>
      </c>
      <c r="P17" s="122" t="str">
        <f t="shared" ref="P17:Q40" ca="1" si="24">INDIRECT(H17)</f>
        <v>Assens</v>
      </c>
      <c r="Q17" s="122" t="str">
        <f t="shared" ca="1" si="24"/>
        <v>Dragør</v>
      </c>
      <c r="R17" s="161">
        <v>43832</v>
      </c>
      <c r="S17" s="162" t="s">
        <v>33</v>
      </c>
      <c r="T17" s="163">
        <v>1</v>
      </c>
      <c r="U17" s="164">
        <v>0</v>
      </c>
      <c r="V17" s="165">
        <v>4</v>
      </c>
      <c r="W17" s="121">
        <f t="shared" ref="W17:W40" si="25">IF(ISNUMBER(U17)*ISNUMBER(V17),IF(U17&gt;V17,ptv, IF(U17=V17,ptu,ptt)),"-")</f>
        <v>0</v>
      </c>
      <c r="X17" s="121">
        <f t="shared" ref="X17:X40" si="26">IF(ISNUMBER(U17)*ISNUMBER(V17),IF(W17=ptv,ptt,IF(W17=ptu,ptu,ptv)),"-")</f>
        <v>3</v>
      </c>
    </row>
    <row r="18" spans="1:24" ht="18" thickBot="1" x14ac:dyDescent="0.4">
      <c r="A18" s="13"/>
      <c r="B18" s="14"/>
      <c r="C18" s="56" t="s">
        <v>95</v>
      </c>
      <c r="D18" s="57">
        <f>OR(H18=H17,H18=I17,I18=H17,I18=I17)*1</f>
        <v>0</v>
      </c>
      <c r="E18" s="56">
        <v>2</v>
      </c>
      <c r="F18" s="58">
        <f t="shared" si="20"/>
        <v>4</v>
      </c>
      <c r="G18" s="58">
        <f t="shared" si="21"/>
        <v>3</v>
      </c>
      <c r="H18" s="59" t="str">
        <f t="shared" si="22"/>
        <v>T_02</v>
      </c>
      <c r="I18" s="59" t="str">
        <f t="shared" si="23"/>
        <v>T_03</v>
      </c>
      <c r="J18" s="59">
        <v>0</v>
      </c>
      <c r="K18" s="60">
        <f>$K$17+J18</f>
        <v>43832</v>
      </c>
      <c r="L18" s="71"/>
      <c r="O18" s="124">
        <v>2</v>
      </c>
      <c r="P18" s="124" t="str">
        <f t="shared" ca="1" si="24"/>
        <v>Bogense</v>
      </c>
      <c r="Q18" s="124" t="str">
        <f t="shared" ca="1" si="24"/>
        <v>Christiansfelt</v>
      </c>
      <c r="R18" s="135">
        <v>43832</v>
      </c>
      <c r="S18" s="125" t="str">
        <f>IFERROR(S17+mMin,"-")</f>
        <v>-</v>
      </c>
      <c r="T18" s="149">
        <v>2</v>
      </c>
      <c r="U18" s="150">
        <v>5</v>
      </c>
      <c r="V18" s="151">
        <v>5</v>
      </c>
      <c r="W18" s="126">
        <f t="shared" si="25"/>
        <v>1</v>
      </c>
      <c r="X18" s="126">
        <f t="shared" si="26"/>
        <v>1</v>
      </c>
    </row>
    <row r="19" spans="1:24" ht="18" thickBot="1" x14ac:dyDescent="0.4">
      <c r="A19" s="13"/>
      <c r="B19" s="14"/>
      <c r="C19" s="67" t="s">
        <v>111</v>
      </c>
      <c r="D19" s="66">
        <f t="shared" ref="D19:D40" si="27">OR(H19=H18,H19=I18,I19=H18,I19=I18)*1</f>
        <v>1</v>
      </c>
      <c r="E19" s="67">
        <v>3</v>
      </c>
      <c r="F19" s="68">
        <f t="shared" si="20"/>
        <v>2</v>
      </c>
      <c r="G19" s="68">
        <f t="shared" si="21"/>
        <v>4</v>
      </c>
      <c r="H19" s="69" t="str">
        <f t="shared" si="22"/>
        <v>T_03</v>
      </c>
      <c r="I19" s="69" t="str">
        <f t="shared" si="23"/>
        <v>T_01</v>
      </c>
      <c r="J19" s="69">
        <v>0</v>
      </c>
      <c r="K19" s="70">
        <f t="shared" ref="K19:K44" si="28">$K$17+J19</f>
        <v>43832</v>
      </c>
      <c r="L19" s="71"/>
      <c r="O19" s="160">
        <v>3</v>
      </c>
      <c r="P19" s="160" t="str">
        <f t="shared" ca="1" si="24"/>
        <v>Christiansfelt</v>
      </c>
      <c r="Q19" s="160" t="str">
        <f t="shared" ca="1" si="24"/>
        <v>Assens</v>
      </c>
      <c r="R19" s="161">
        <v>43832</v>
      </c>
      <c r="S19" s="162" t="s">
        <v>33</v>
      </c>
      <c r="T19" s="163">
        <v>1</v>
      </c>
      <c r="U19" s="164">
        <v>3</v>
      </c>
      <c r="V19" s="165">
        <v>5</v>
      </c>
      <c r="W19" s="166">
        <f t="shared" si="25"/>
        <v>0</v>
      </c>
      <c r="X19" s="166">
        <f t="shared" si="26"/>
        <v>3</v>
      </c>
    </row>
    <row r="20" spans="1:24" ht="18" thickBot="1" x14ac:dyDescent="0.4">
      <c r="A20" s="13"/>
      <c r="B20" s="14"/>
      <c r="C20" s="63" t="s">
        <v>112</v>
      </c>
      <c r="D20" s="62">
        <f t="shared" si="27"/>
        <v>0</v>
      </c>
      <c r="E20" s="63">
        <v>4</v>
      </c>
      <c r="F20" s="51">
        <f t="shared" si="20"/>
        <v>3</v>
      </c>
      <c r="G20" s="51">
        <f t="shared" si="21"/>
        <v>5</v>
      </c>
      <c r="H20" s="64" t="str">
        <f t="shared" si="22"/>
        <v>T_04</v>
      </c>
      <c r="I20" s="64" t="str">
        <f t="shared" si="23"/>
        <v>T_02</v>
      </c>
      <c r="J20" s="64">
        <v>1</v>
      </c>
      <c r="K20" s="65">
        <f t="shared" si="28"/>
        <v>43833</v>
      </c>
      <c r="L20" s="71"/>
      <c r="O20" s="124">
        <v>4</v>
      </c>
      <c r="P20" s="124" t="str">
        <f t="shared" ca="1" si="24"/>
        <v>Dragør</v>
      </c>
      <c r="Q20" s="124" t="str">
        <f t="shared" ca="1" si="24"/>
        <v>Bogense</v>
      </c>
      <c r="R20" s="135">
        <v>43833</v>
      </c>
      <c r="S20" s="125" t="str">
        <f>IFERROR(S19+mMin,"-")</f>
        <v>-</v>
      </c>
      <c r="T20" s="149">
        <v>2</v>
      </c>
      <c r="U20" s="150">
        <v>4</v>
      </c>
      <c r="V20" s="151">
        <v>2</v>
      </c>
      <c r="W20" s="126">
        <f t="shared" si="25"/>
        <v>3</v>
      </c>
      <c r="X20" s="126">
        <f t="shared" si="26"/>
        <v>0</v>
      </c>
    </row>
    <row r="21" spans="1:24" ht="17.399999999999999" x14ac:dyDescent="0.35">
      <c r="A21" s="13"/>
      <c r="B21" s="14"/>
      <c r="C21" s="56" t="s">
        <v>116</v>
      </c>
      <c r="D21" s="57">
        <f t="shared" si="27"/>
        <v>1</v>
      </c>
      <c r="E21" s="56">
        <v>5</v>
      </c>
      <c r="F21" s="58">
        <f t="shared" si="20"/>
        <v>3</v>
      </c>
      <c r="G21" s="58">
        <f t="shared" si="21"/>
        <v>2</v>
      </c>
      <c r="H21" s="59" t="str">
        <f t="shared" si="22"/>
        <v>T_01</v>
      </c>
      <c r="I21" s="59" t="str">
        <f t="shared" si="23"/>
        <v>T_02</v>
      </c>
      <c r="J21" s="59">
        <v>1</v>
      </c>
      <c r="K21" s="60">
        <f t="shared" si="28"/>
        <v>43833</v>
      </c>
      <c r="L21" s="71"/>
      <c r="O21" s="160">
        <v>5</v>
      </c>
      <c r="P21" s="160" t="str">
        <f t="shared" ca="1" si="24"/>
        <v>Assens</v>
      </c>
      <c r="Q21" s="160" t="str">
        <f t="shared" ca="1" si="24"/>
        <v>Bogense</v>
      </c>
      <c r="R21" s="161">
        <v>43833</v>
      </c>
      <c r="S21" s="162" t="s">
        <v>33</v>
      </c>
      <c r="T21" s="163">
        <v>1</v>
      </c>
      <c r="U21" s="164">
        <v>5</v>
      </c>
      <c r="V21" s="165">
        <v>3</v>
      </c>
      <c r="W21" s="166">
        <f t="shared" si="25"/>
        <v>3</v>
      </c>
      <c r="X21" s="166">
        <f t="shared" si="26"/>
        <v>0</v>
      </c>
    </row>
    <row r="22" spans="1:24" ht="18" thickBot="1" x14ac:dyDescent="0.4">
      <c r="A22" s="13"/>
      <c r="B22" s="14"/>
      <c r="C22" s="67" t="s">
        <v>90</v>
      </c>
      <c r="D22" s="66">
        <f t="shared" si="27"/>
        <v>0</v>
      </c>
      <c r="E22" s="67">
        <v>6</v>
      </c>
      <c r="F22" s="68">
        <f t="shared" si="20"/>
        <v>5</v>
      </c>
      <c r="G22" s="68">
        <f t="shared" si="21"/>
        <v>4</v>
      </c>
      <c r="H22" s="69" t="str">
        <f t="shared" si="22"/>
        <v>T_03</v>
      </c>
      <c r="I22" s="69" t="str">
        <f t="shared" si="23"/>
        <v>T_04</v>
      </c>
      <c r="J22" s="69">
        <v>1</v>
      </c>
      <c r="K22" s="70">
        <f t="shared" si="28"/>
        <v>43833</v>
      </c>
      <c r="L22" s="71"/>
      <c r="O22" s="167">
        <v>6</v>
      </c>
      <c r="P22" s="167" t="str">
        <f t="shared" ca="1" si="24"/>
        <v>Christiansfelt</v>
      </c>
      <c r="Q22" s="167" t="str">
        <f t="shared" ca="1" si="24"/>
        <v>Dragør</v>
      </c>
      <c r="R22" s="168">
        <v>43833</v>
      </c>
      <c r="S22" s="169" t="str">
        <f>IFERROR(S21+mMin,"-")</f>
        <v>-</v>
      </c>
      <c r="T22" s="170">
        <v>2</v>
      </c>
      <c r="U22" s="171">
        <v>0</v>
      </c>
      <c r="V22" s="172">
        <v>3</v>
      </c>
      <c r="W22" s="173">
        <f t="shared" si="25"/>
        <v>0</v>
      </c>
      <c r="X22" s="173">
        <f t="shared" si="26"/>
        <v>3</v>
      </c>
    </row>
    <row r="23" spans="1:24" ht="17.399999999999999" x14ac:dyDescent="0.35">
      <c r="A23" s="13"/>
      <c r="B23" s="14"/>
      <c r="C23" s="63" t="s">
        <v>151</v>
      </c>
      <c r="D23" s="62">
        <f t="shared" si="27"/>
        <v>1</v>
      </c>
      <c r="E23" s="63">
        <v>7</v>
      </c>
      <c r="F23" s="51">
        <f t="shared" si="20"/>
        <v>2</v>
      </c>
      <c r="G23" s="51">
        <f t="shared" si="21"/>
        <v>5</v>
      </c>
      <c r="H23" s="64" t="str">
        <f t="shared" si="22"/>
        <v>T_04</v>
      </c>
      <c r="I23" s="64" t="str">
        <f t="shared" si="23"/>
        <v>T_01</v>
      </c>
      <c r="J23" s="64">
        <v>2</v>
      </c>
      <c r="K23" s="65">
        <f t="shared" si="28"/>
        <v>43834</v>
      </c>
      <c r="L23" s="71"/>
      <c r="O23" s="160">
        <v>7</v>
      </c>
      <c r="P23" s="160" t="str">
        <f t="shared" ca="1" si="24"/>
        <v>Dragør</v>
      </c>
      <c r="Q23" s="160" t="str">
        <f t="shared" ca="1" si="24"/>
        <v>Assens</v>
      </c>
      <c r="R23" s="161">
        <v>43834</v>
      </c>
      <c r="S23" s="162" t="s">
        <v>33</v>
      </c>
      <c r="T23" s="163">
        <v>1</v>
      </c>
      <c r="U23" s="164">
        <v>5</v>
      </c>
      <c r="V23" s="165">
        <v>3</v>
      </c>
      <c r="W23" s="166">
        <f t="shared" si="25"/>
        <v>3</v>
      </c>
      <c r="X23" s="166">
        <f t="shared" si="26"/>
        <v>0</v>
      </c>
    </row>
    <row r="24" spans="1:24" ht="18" thickBot="1" x14ac:dyDescent="0.4">
      <c r="A24" s="13"/>
      <c r="B24" s="14"/>
      <c r="C24" s="56" t="s">
        <v>140</v>
      </c>
      <c r="D24" s="57">
        <f t="shared" si="27"/>
        <v>0</v>
      </c>
      <c r="E24" s="56">
        <v>8</v>
      </c>
      <c r="F24" s="58">
        <f t="shared" si="20"/>
        <v>3</v>
      </c>
      <c r="G24" s="58">
        <f t="shared" si="21"/>
        <v>4</v>
      </c>
      <c r="H24" s="59" t="str">
        <f t="shared" si="22"/>
        <v>T_03</v>
      </c>
      <c r="I24" s="59" t="str">
        <f t="shared" si="23"/>
        <v>T_02</v>
      </c>
      <c r="J24" s="59">
        <v>2</v>
      </c>
      <c r="K24" s="60">
        <f t="shared" si="28"/>
        <v>43834</v>
      </c>
      <c r="L24" s="71"/>
      <c r="O24" s="124">
        <v>8</v>
      </c>
      <c r="P24" s="124" t="str">
        <f t="shared" ca="1" si="24"/>
        <v>Christiansfelt</v>
      </c>
      <c r="Q24" s="124" t="str">
        <f t="shared" ca="1" si="24"/>
        <v>Bogense</v>
      </c>
      <c r="R24" s="135">
        <v>43834</v>
      </c>
      <c r="S24" s="125" t="str">
        <f>IFERROR(S23+mMin,"-")</f>
        <v>-</v>
      </c>
      <c r="T24" s="149">
        <v>2</v>
      </c>
      <c r="U24" s="150">
        <v>1</v>
      </c>
      <c r="V24" s="151">
        <v>5</v>
      </c>
      <c r="W24" s="126">
        <f t="shared" si="25"/>
        <v>0</v>
      </c>
      <c r="X24" s="126">
        <f t="shared" si="26"/>
        <v>3</v>
      </c>
    </row>
    <row r="25" spans="1:24" ht="18" thickBot="1" x14ac:dyDescent="0.4">
      <c r="A25" s="13"/>
      <c r="B25" s="14"/>
      <c r="C25" s="67" t="s">
        <v>156</v>
      </c>
      <c r="D25" s="66">
        <f t="shared" si="27"/>
        <v>1</v>
      </c>
      <c r="E25" s="67">
        <v>9</v>
      </c>
      <c r="F25" s="68">
        <f t="shared" si="20"/>
        <v>4</v>
      </c>
      <c r="G25" s="68">
        <f t="shared" si="21"/>
        <v>2</v>
      </c>
      <c r="H25" s="69" t="str">
        <f t="shared" si="22"/>
        <v>T_01</v>
      </c>
      <c r="I25" s="69" t="str">
        <f t="shared" si="23"/>
        <v>T_03</v>
      </c>
      <c r="J25" s="69">
        <v>2</v>
      </c>
      <c r="K25" s="70">
        <f t="shared" si="28"/>
        <v>43834</v>
      </c>
      <c r="L25" s="71"/>
      <c r="O25" s="160">
        <v>9</v>
      </c>
      <c r="P25" s="160" t="str">
        <f t="shared" ca="1" si="24"/>
        <v>Assens</v>
      </c>
      <c r="Q25" s="160" t="str">
        <f t="shared" ca="1" si="24"/>
        <v>Christiansfelt</v>
      </c>
      <c r="R25" s="161">
        <v>43834</v>
      </c>
      <c r="S25" s="162" t="s">
        <v>33</v>
      </c>
      <c r="T25" s="163">
        <v>1</v>
      </c>
      <c r="U25" s="164">
        <v>1</v>
      </c>
      <c r="V25" s="165">
        <v>4</v>
      </c>
      <c r="W25" s="166">
        <f t="shared" si="25"/>
        <v>0</v>
      </c>
      <c r="X25" s="166">
        <f t="shared" si="26"/>
        <v>3</v>
      </c>
    </row>
    <row r="26" spans="1:24" ht="18" thickBot="1" x14ac:dyDescent="0.4">
      <c r="A26" s="13"/>
      <c r="B26" s="14"/>
      <c r="C26" s="63" t="s">
        <v>157</v>
      </c>
      <c r="D26" s="62">
        <f t="shared" si="27"/>
        <v>0</v>
      </c>
      <c r="E26" s="63">
        <v>10</v>
      </c>
      <c r="F26" s="51">
        <f t="shared" si="20"/>
        <v>5</v>
      </c>
      <c r="G26" s="51">
        <f t="shared" si="21"/>
        <v>3</v>
      </c>
      <c r="H26" s="64" t="str">
        <f t="shared" si="22"/>
        <v>T_02</v>
      </c>
      <c r="I26" s="64" t="str">
        <f t="shared" si="23"/>
        <v>T_04</v>
      </c>
      <c r="J26" s="64">
        <v>3</v>
      </c>
      <c r="K26" s="65">
        <f t="shared" si="28"/>
        <v>43835</v>
      </c>
      <c r="L26" s="71"/>
      <c r="O26" s="124">
        <v>10</v>
      </c>
      <c r="P26" s="124" t="str">
        <f t="shared" ca="1" si="24"/>
        <v>Bogense</v>
      </c>
      <c r="Q26" s="124" t="str">
        <f t="shared" ca="1" si="24"/>
        <v>Dragør</v>
      </c>
      <c r="R26" s="135">
        <v>43835</v>
      </c>
      <c r="S26" s="125" t="str">
        <f>IFERROR(S25+mMin,"-")</f>
        <v>-</v>
      </c>
      <c r="T26" s="149">
        <v>2</v>
      </c>
      <c r="U26" s="150">
        <v>4</v>
      </c>
      <c r="V26" s="151">
        <v>2</v>
      </c>
      <c r="W26" s="126">
        <f t="shared" si="25"/>
        <v>3</v>
      </c>
      <c r="X26" s="126">
        <f t="shared" si="26"/>
        <v>0</v>
      </c>
    </row>
    <row r="27" spans="1:24" ht="17.399999999999999" x14ac:dyDescent="0.35">
      <c r="A27" s="13"/>
      <c r="B27" s="14"/>
      <c r="C27" s="56" t="s">
        <v>161</v>
      </c>
      <c r="D27" s="57">
        <f t="shared" si="27"/>
        <v>1</v>
      </c>
      <c r="E27" s="56">
        <v>11</v>
      </c>
      <c r="F27" s="58">
        <f t="shared" si="20"/>
        <v>2</v>
      </c>
      <c r="G27" s="58">
        <f t="shared" si="21"/>
        <v>3</v>
      </c>
      <c r="H27" s="59" t="str">
        <f t="shared" si="22"/>
        <v>T_02</v>
      </c>
      <c r="I27" s="59" t="str">
        <f t="shared" si="23"/>
        <v>T_01</v>
      </c>
      <c r="J27" s="59">
        <v>3</v>
      </c>
      <c r="K27" s="60">
        <f t="shared" si="28"/>
        <v>43835</v>
      </c>
      <c r="L27" s="71"/>
      <c r="O27" s="160">
        <v>11</v>
      </c>
      <c r="P27" s="160" t="str">
        <f t="shared" ca="1" si="24"/>
        <v>Bogense</v>
      </c>
      <c r="Q27" s="160" t="str">
        <f t="shared" ca="1" si="24"/>
        <v>Assens</v>
      </c>
      <c r="R27" s="161">
        <v>43835</v>
      </c>
      <c r="S27" s="162" t="s">
        <v>33</v>
      </c>
      <c r="T27" s="163">
        <v>1</v>
      </c>
      <c r="U27" s="164">
        <v>4</v>
      </c>
      <c r="V27" s="165">
        <v>2</v>
      </c>
      <c r="W27" s="166">
        <f t="shared" si="25"/>
        <v>3</v>
      </c>
      <c r="X27" s="166">
        <f t="shared" si="26"/>
        <v>0</v>
      </c>
    </row>
    <row r="28" spans="1:24" ht="18" thickBot="1" x14ac:dyDescent="0.4">
      <c r="A28" s="13"/>
      <c r="B28" s="14"/>
      <c r="C28" s="67" t="s">
        <v>135</v>
      </c>
      <c r="D28" s="66">
        <f t="shared" si="27"/>
        <v>0</v>
      </c>
      <c r="E28" s="67">
        <v>12</v>
      </c>
      <c r="F28" s="68">
        <f t="shared" si="20"/>
        <v>4</v>
      </c>
      <c r="G28" s="68">
        <f t="shared" si="21"/>
        <v>5</v>
      </c>
      <c r="H28" s="69" t="str">
        <f t="shared" si="22"/>
        <v>T_04</v>
      </c>
      <c r="I28" s="69" t="str">
        <f t="shared" si="23"/>
        <v>T_03</v>
      </c>
      <c r="J28" s="69">
        <v>3</v>
      </c>
      <c r="K28" s="70">
        <f t="shared" si="28"/>
        <v>43835</v>
      </c>
      <c r="L28" s="71"/>
      <c r="O28" s="167">
        <v>12</v>
      </c>
      <c r="P28" s="167" t="str">
        <f t="shared" ca="1" si="24"/>
        <v>Dragør</v>
      </c>
      <c r="Q28" s="167" t="str">
        <f t="shared" ca="1" si="24"/>
        <v>Christiansfelt</v>
      </c>
      <c r="R28" s="168">
        <v>43835</v>
      </c>
      <c r="S28" s="169" t="str">
        <f>IFERROR(S27+mMin,"-")</f>
        <v>-</v>
      </c>
      <c r="T28" s="170">
        <v>2</v>
      </c>
      <c r="U28" s="171">
        <v>2</v>
      </c>
      <c r="V28" s="172">
        <v>1</v>
      </c>
      <c r="W28" s="173">
        <f t="shared" si="25"/>
        <v>3</v>
      </c>
      <c r="X28" s="173">
        <f t="shared" si="26"/>
        <v>0</v>
      </c>
    </row>
    <row r="29" spans="1:24" ht="17.399999999999999" x14ac:dyDescent="0.35">
      <c r="A29" s="13"/>
      <c r="B29" s="14"/>
      <c r="C29" s="63" t="s">
        <v>151</v>
      </c>
      <c r="D29" s="62">
        <f t="shared" si="27"/>
        <v>1</v>
      </c>
      <c r="E29" s="63">
        <v>12</v>
      </c>
      <c r="F29" s="51">
        <f t="shared" si="20"/>
        <v>4</v>
      </c>
      <c r="G29" s="51">
        <f t="shared" si="21"/>
        <v>5</v>
      </c>
      <c r="H29" s="64" t="str">
        <f t="shared" si="22"/>
        <v>T_04</v>
      </c>
      <c r="I29" s="64" t="str">
        <f t="shared" si="23"/>
        <v>T_03</v>
      </c>
      <c r="J29" s="64">
        <v>4</v>
      </c>
      <c r="K29" s="65">
        <f t="shared" si="28"/>
        <v>43836</v>
      </c>
      <c r="L29" s="71"/>
      <c r="O29" s="160">
        <v>13</v>
      </c>
      <c r="P29" s="160" t="str">
        <f t="shared" ca="1" si="24"/>
        <v>Dragør</v>
      </c>
      <c r="Q29" s="160" t="str">
        <f t="shared" ca="1" si="24"/>
        <v>Christiansfelt</v>
      </c>
      <c r="R29" s="161">
        <v>43836</v>
      </c>
      <c r="S29" s="162" t="s">
        <v>33</v>
      </c>
      <c r="T29" s="163">
        <v>1</v>
      </c>
      <c r="U29" s="164">
        <v>2</v>
      </c>
      <c r="V29" s="165">
        <v>4</v>
      </c>
      <c r="W29" s="166">
        <f t="shared" si="25"/>
        <v>0</v>
      </c>
      <c r="X29" s="166">
        <f t="shared" si="26"/>
        <v>3</v>
      </c>
    </row>
    <row r="30" spans="1:24" ht="18" thickBot="1" x14ac:dyDescent="0.4">
      <c r="A30" s="13"/>
      <c r="B30" s="14"/>
      <c r="C30" s="56" t="s">
        <v>140</v>
      </c>
      <c r="D30" s="57">
        <f t="shared" si="27"/>
        <v>1</v>
      </c>
      <c r="E30" s="56">
        <v>10</v>
      </c>
      <c r="F30" s="58">
        <f t="shared" si="20"/>
        <v>5</v>
      </c>
      <c r="G30" s="58">
        <f t="shared" si="21"/>
        <v>3</v>
      </c>
      <c r="H30" s="59" t="str">
        <f t="shared" si="22"/>
        <v>T_02</v>
      </c>
      <c r="I30" s="59" t="str">
        <f t="shared" si="23"/>
        <v>T_04</v>
      </c>
      <c r="J30" s="59">
        <v>4</v>
      </c>
      <c r="K30" s="60">
        <f t="shared" si="28"/>
        <v>43836</v>
      </c>
      <c r="L30" s="71"/>
      <c r="O30" s="124">
        <v>14</v>
      </c>
      <c r="P30" s="124" t="str">
        <f t="shared" ca="1" si="24"/>
        <v>Bogense</v>
      </c>
      <c r="Q30" s="124" t="str">
        <f t="shared" ca="1" si="24"/>
        <v>Dragør</v>
      </c>
      <c r="R30" s="135">
        <v>43836</v>
      </c>
      <c r="S30" s="125" t="str">
        <f>IFERROR(S29+mMin,"-")</f>
        <v>-</v>
      </c>
      <c r="T30" s="149">
        <v>2</v>
      </c>
      <c r="U30" s="150">
        <v>2</v>
      </c>
      <c r="V30" s="151">
        <v>5</v>
      </c>
      <c r="W30" s="126">
        <f t="shared" si="25"/>
        <v>0</v>
      </c>
      <c r="X30" s="126">
        <f t="shared" si="26"/>
        <v>3</v>
      </c>
    </row>
    <row r="31" spans="1:24" ht="18" thickBot="1" x14ac:dyDescent="0.4">
      <c r="A31" s="13"/>
      <c r="B31" s="14"/>
      <c r="C31" s="67" t="s">
        <v>156</v>
      </c>
      <c r="D31" s="66">
        <f t="shared" si="27"/>
        <v>1</v>
      </c>
      <c r="E31" s="67">
        <v>11</v>
      </c>
      <c r="F31" s="68">
        <f t="shared" si="20"/>
        <v>2</v>
      </c>
      <c r="G31" s="68">
        <f t="shared" si="21"/>
        <v>3</v>
      </c>
      <c r="H31" s="69" t="str">
        <f t="shared" si="22"/>
        <v>T_02</v>
      </c>
      <c r="I31" s="69" t="str">
        <f t="shared" si="23"/>
        <v>T_01</v>
      </c>
      <c r="J31" s="69">
        <v>4</v>
      </c>
      <c r="K31" s="70">
        <f t="shared" si="28"/>
        <v>43836</v>
      </c>
      <c r="L31" s="71"/>
      <c r="O31" s="160">
        <v>15</v>
      </c>
      <c r="P31" s="160" t="str">
        <f t="shared" ca="1" si="24"/>
        <v>Bogense</v>
      </c>
      <c r="Q31" s="160" t="str">
        <f t="shared" ca="1" si="24"/>
        <v>Assens</v>
      </c>
      <c r="R31" s="161">
        <v>43836</v>
      </c>
      <c r="S31" s="162" t="s">
        <v>33</v>
      </c>
      <c r="T31" s="163">
        <v>1</v>
      </c>
      <c r="U31" s="164">
        <v>1</v>
      </c>
      <c r="V31" s="165">
        <v>5</v>
      </c>
      <c r="W31" s="166">
        <f t="shared" si="25"/>
        <v>0</v>
      </c>
      <c r="X31" s="166">
        <f t="shared" si="26"/>
        <v>3</v>
      </c>
    </row>
    <row r="32" spans="1:24" ht="18" thickBot="1" x14ac:dyDescent="0.4">
      <c r="A32" s="13"/>
      <c r="B32" s="14"/>
      <c r="C32" s="63" t="s">
        <v>157</v>
      </c>
      <c r="D32" s="62">
        <f t="shared" si="27"/>
        <v>1</v>
      </c>
      <c r="E32" s="63">
        <v>9</v>
      </c>
      <c r="F32" s="51">
        <f t="shared" si="20"/>
        <v>4</v>
      </c>
      <c r="G32" s="51">
        <f t="shared" si="21"/>
        <v>2</v>
      </c>
      <c r="H32" s="64" t="str">
        <f t="shared" si="22"/>
        <v>T_01</v>
      </c>
      <c r="I32" s="64" t="str">
        <f t="shared" si="23"/>
        <v>T_03</v>
      </c>
      <c r="J32" s="64">
        <v>5</v>
      </c>
      <c r="K32" s="65">
        <f t="shared" si="28"/>
        <v>43837</v>
      </c>
      <c r="L32" s="71"/>
      <c r="O32" s="124">
        <v>16</v>
      </c>
      <c r="P32" s="124" t="str">
        <f t="shared" ca="1" si="24"/>
        <v>Assens</v>
      </c>
      <c r="Q32" s="124" t="str">
        <f t="shared" ca="1" si="24"/>
        <v>Christiansfelt</v>
      </c>
      <c r="R32" s="135">
        <v>43837</v>
      </c>
      <c r="S32" s="125" t="str">
        <f>IFERROR(S31+mMin,"-")</f>
        <v>-</v>
      </c>
      <c r="T32" s="149">
        <v>1</v>
      </c>
      <c r="U32" s="150">
        <v>4</v>
      </c>
      <c r="V32" s="151">
        <v>2</v>
      </c>
      <c r="W32" s="126">
        <f t="shared" si="25"/>
        <v>3</v>
      </c>
      <c r="X32" s="126">
        <f t="shared" si="26"/>
        <v>0</v>
      </c>
    </row>
    <row r="33" spans="1:24" ht="17.399999999999999" x14ac:dyDescent="0.35">
      <c r="A33" s="13"/>
      <c r="B33" s="14"/>
      <c r="C33" s="56" t="s">
        <v>161</v>
      </c>
      <c r="D33" s="57">
        <f t="shared" si="27"/>
        <v>1</v>
      </c>
      <c r="E33" s="56">
        <v>8</v>
      </c>
      <c r="F33" s="58">
        <f t="shared" si="20"/>
        <v>3</v>
      </c>
      <c r="G33" s="58">
        <f t="shared" si="21"/>
        <v>4</v>
      </c>
      <c r="H33" s="59" t="str">
        <f t="shared" si="22"/>
        <v>T_03</v>
      </c>
      <c r="I33" s="59" t="str">
        <f t="shared" si="23"/>
        <v>T_02</v>
      </c>
      <c r="J33" s="59">
        <v>5</v>
      </c>
      <c r="K33" s="60">
        <f t="shared" si="28"/>
        <v>43837</v>
      </c>
      <c r="L33" s="71"/>
      <c r="O33" s="160">
        <v>17</v>
      </c>
      <c r="P33" s="160" t="str">
        <f t="shared" ca="1" si="24"/>
        <v>Christiansfelt</v>
      </c>
      <c r="Q33" s="160" t="str">
        <f t="shared" ca="1" si="24"/>
        <v>Bogense</v>
      </c>
      <c r="R33" s="161">
        <v>43837</v>
      </c>
      <c r="S33" s="162" t="s">
        <v>33</v>
      </c>
      <c r="T33" s="163">
        <v>2</v>
      </c>
      <c r="U33" s="164">
        <v>2</v>
      </c>
      <c r="V33" s="165">
        <v>1</v>
      </c>
      <c r="W33" s="166">
        <f t="shared" si="25"/>
        <v>3</v>
      </c>
      <c r="X33" s="166">
        <f t="shared" si="26"/>
        <v>0</v>
      </c>
    </row>
    <row r="34" spans="1:24" ht="18" thickBot="1" x14ac:dyDescent="0.4">
      <c r="A34" s="13"/>
      <c r="B34" s="14"/>
      <c r="C34" s="67" t="s">
        <v>135</v>
      </c>
      <c r="D34" s="66">
        <f t="shared" si="27"/>
        <v>0</v>
      </c>
      <c r="E34" s="67">
        <v>7</v>
      </c>
      <c r="F34" s="68">
        <f t="shared" si="20"/>
        <v>2</v>
      </c>
      <c r="G34" s="68">
        <f t="shared" si="21"/>
        <v>5</v>
      </c>
      <c r="H34" s="69" t="str">
        <f t="shared" si="22"/>
        <v>T_04</v>
      </c>
      <c r="I34" s="69" t="str">
        <f t="shared" si="23"/>
        <v>T_01</v>
      </c>
      <c r="J34" s="69">
        <v>5</v>
      </c>
      <c r="K34" s="70">
        <f t="shared" si="28"/>
        <v>43837</v>
      </c>
      <c r="L34" s="71"/>
      <c r="O34" s="167">
        <v>18</v>
      </c>
      <c r="P34" s="167" t="str">
        <f t="shared" ca="1" si="24"/>
        <v>Dragør</v>
      </c>
      <c r="Q34" s="167" t="str">
        <f t="shared" ca="1" si="24"/>
        <v>Assens</v>
      </c>
      <c r="R34" s="168">
        <v>43837</v>
      </c>
      <c r="S34" s="169" t="str">
        <f>IFERROR(S33+mMin,"-")</f>
        <v>-</v>
      </c>
      <c r="T34" s="170">
        <v>1</v>
      </c>
      <c r="U34" s="171">
        <v>2</v>
      </c>
      <c r="V34" s="172">
        <v>4</v>
      </c>
      <c r="W34" s="173">
        <f t="shared" si="25"/>
        <v>0</v>
      </c>
      <c r="X34" s="173">
        <f t="shared" si="26"/>
        <v>3</v>
      </c>
    </row>
    <row r="35" spans="1:24" ht="17.399999999999999" x14ac:dyDescent="0.35">
      <c r="A35" s="13"/>
      <c r="B35" s="14"/>
      <c r="C35" s="63" t="s">
        <v>106</v>
      </c>
      <c r="D35" s="62">
        <f t="shared" si="27"/>
        <v>1</v>
      </c>
      <c r="E35" s="63">
        <v>6</v>
      </c>
      <c r="F35" s="51">
        <f t="shared" si="20"/>
        <v>5</v>
      </c>
      <c r="G35" s="51">
        <f t="shared" si="21"/>
        <v>4</v>
      </c>
      <c r="H35" s="64" t="str">
        <f t="shared" si="22"/>
        <v>T_03</v>
      </c>
      <c r="I35" s="64" t="str">
        <f t="shared" si="23"/>
        <v>T_04</v>
      </c>
      <c r="J35" s="64">
        <v>6</v>
      </c>
      <c r="K35" s="65">
        <f t="shared" si="28"/>
        <v>43838</v>
      </c>
      <c r="L35" s="71"/>
      <c r="O35" s="160">
        <v>19</v>
      </c>
      <c r="P35" s="160" t="str">
        <f t="shared" ca="1" si="24"/>
        <v>Christiansfelt</v>
      </c>
      <c r="Q35" s="160" t="str">
        <f t="shared" ca="1" si="24"/>
        <v>Dragør</v>
      </c>
      <c r="R35" s="161">
        <v>43838</v>
      </c>
      <c r="S35" s="162" t="s">
        <v>33</v>
      </c>
      <c r="T35" s="163">
        <v>2</v>
      </c>
      <c r="U35" s="164">
        <v>2</v>
      </c>
      <c r="V35" s="165">
        <v>5</v>
      </c>
      <c r="W35" s="166">
        <f t="shared" si="25"/>
        <v>0</v>
      </c>
      <c r="X35" s="166">
        <f t="shared" si="26"/>
        <v>3</v>
      </c>
    </row>
    <row r="36" spans="1:24" ht="18" thickBot="1" x14ac:dyDescent="0.4">
      <c r="A36" s="13"/>
      <c r="B36" s="14"/>
      <c r="C36" s="56" t="s">
        <v>95</v>
      </c>
      <c r="D36" s="57">
        <f t="shared" si="27"/>
        <v>0</v>
      </c>
      <c r="E36" s="56">
        <v>5</v>
      </c>
      <c r="F36" s="58">
        <f t="shared" si="20"/>
        <v>3</v>
      </c>
      <c r="G36" s="58">
        <f t="shared" si="21"/>
        <v>2</v>
      </c>
      <c r="H36" s="59" t="str">
        <f t="shared" si="22"/>
        <v>T_01</v>
      </c>
      <c r="I36" s="59" t="str">
        <f t="shared" si="23"/>
        <v>T_02</v>
      </c>
      <c r="J36" s="59">
        <v>6</v>
      </c>
      <c r="K36" s="60">
        <f t="shared" si="28"/>
        <v>43838</v>
      </c>
      <c r="L36" s="71"/>
      <c r="O36" s="124">
        <v>20</v>
      </c>
      <c r="P36" s="124" t="str">
        <f t="shared" ca="1" si="24"/>
        <v>Assens</v>
      </c>
      <c r="Q36" s="124" t="str">
        <f t="shared" ca="1" si="24"/>
        <v>Bogense</v>
      </c>
      <c r="R36" s="135">
        <v>43838</v>
      </c>
      <c r="S36" s="125" t="str">
        <f>IFERROR(S35+mMin,"-")</f>
        <v>-</v>
      </c>
      <c r="T36" s="149">
        <v>1</v>
      </c>
      <c r="U36" s="150">
        <v>1</v>
      </c>
      <c r="V36" s="151">
        <v>5</v>
      </c>
      <c r="W36" s="126">
        <f t="shared" si="25"/>
        <v>0</v>
      </c>
      <c r="X36" s="126">
        <f t="shared" si="26"/>
        <v>3</v>
      </c>
    </row>
    <row r="37" spans="1:24" ht="18" thickBot="1" x14ac:dyDescent="0.4">
      <c r="B37" s="14"/>
      <c r="C37" s="67" t="s">
        <v>111</v>
      </c>
      <c r="D37" s="66">
        <f t="shared" si="27"/>
        <v>1</v>
      </c>
      <c r="E37" s="67">
        <v>4</v>
      </c>
      <c r="F37" s="68">
        <f t="shared" si="20"/>
        <v>3</v>
      </c>
      <c r="G37" s="68">
        <f t="shared" si="21"/>
        <v>5</v>
      </c>
      <c r="H37" s="69" t="str">
        <f t="shared" si="22"/>
        <v>T_04</v>
      </c>
      <c r="I37" s="69" t="str">
        <f t="shared" si="23"/>
        <v>T_02</v>
      </c>
      <c r="J37" s="69">
        <v>6</v>
      </c>
      <c r="K37" s="70">
        <f t="shared" si="28"/>
        <v>43838</v>
      </c>
      <c r="L37" s="71"/>
      <c r="O37" s="160">
        <v>21</v>
      </c>
      <c r="P37" s="160" t="str">
        <f t="shared" ca="1" si="24"/>
        <v>Dragør</v>
      </c>
      <c r="Q37" s="160" t="str">
        <f t="shared" ca="1" si="24"/>
        <v>Bogense</v>
      </c>
      <c r="R37" s="161">
        <v>43838</v>
      </c>
      <c r="S37" s="162" t="s">
        <v>33</v>
      </c>
      <c r="T37" s="163">
        <v>1</v>
      </c>
      <c r="U37" s="164">
        <v>4</v>
      </c>
      <c r="V37" s="165">
        <v>2</v>
      </c>
      <c r="W37" s="166">
        <f t="shared" si="25"/>
        <v>3</v>
      </c>
      <c r="X37" s="166">
        <f t="shared" si="26"/>
        <v>0</v>
      </c>
    </row>
    <row r="38" spans="1:24" ht="18" thickBot="1" x14ac:dyDescent="0.4">
      <c r="B38" s="14"/>
      <c r="C38" s="63" t="s">
        <v>112</v>
      </c>
      <c r="D38" s="62">
        <f t="shared" si="27"/>
        <v>0</v>
      </c>
      <c r="E38" s="63">
        <v>3</v>
      </c>
      <c r="F38" s="51">
        <f t="shared" si="20"/>
        <v>2</v>
      </c>
      <c r="G38" s="51">
        <f t="shared" si="21"/>
        <v>4</v>
      </c>
      <c r="H38" s="64" t="str">
        <f t="shared" si="22"/>
        <v>T_03</v>
      </c>
      <c r="I38" s="64" t="str">
        <f t="shared" si="23"/>
        <v>T_01</v>
      </c>
      <c r="J38" s="64">
        <v>7</v>
      </c>
      <c r="K38" s="65">
        <f t="shared" si="28"/>
        <v>43839</v>
      </c>
      <c r="L38" s="71"/>
      <c r="O38" s="124">
        <v>22</v>
      </c>
      <c r="P38" s="124" t="str">
        <f t="shared" ca="1" si="24"/>
        <v>Christiansfelt</v>
      </c>
      <c r="Q38" s="124" t="str">
        <f t="shared" ca="1" si="24"/>
        <v>Assens</v>
      </c>
      <c r="R38" s="135">
        <v>43839</v>
      </c>
      <c r="S38" s="125" t="str">
        <f>IFERROR(S37+mMin,"-")</f>
        <v>-</v>
      </c>
      <c r="T38" s="149">
        <v>2</v>
      </c>
      <c r="U38" s="150">
        <v>2</v>
      </c>
      <c r="V38" s="151">
        <v>1</v>
      </c>
      <c r="W38" s="126">
        <f t="shared" si="25"/>
        <v>3</v>
      </c>
      <c r="X38" s="126">
        <f t="shared" si="26"/>
        <v>0</v>
      </c>
    </row>
    <row r="39" spans="1:24" ht="17.399999999999999" x14ac:dyDescent="0.35">
      <c r="B39" s="14"/>
      <c r="C39" s="56" t="s">
        <v>116</v>
      </c>
      <c r="D39" s="57">
        <f t="shared" si="27"/>
        <v>1</v>
      </c>
      <c r="E39" s="56">
        <v>2</v>
      </c>
      <c r="F39" s="58">
        <f t="shared" si="20"/>
        <v>4</v>
      </c>
      <c r="G39" s="58">
        <f t="shared" si="21"/>
        <v>3</v>
      </c>
      <c r="H39" s="59" t="str">
        <f t="shared" si="22"/>
        <v>T_02</v>
      </c>
      <c r="I39" s="59" t="str">
        <f t="shared" si="23"/>
        <v>T_03</v>
      </c>
      <c r="J39" s="59">
        <v>7</v>
      </c>
      <c r="K39" s="60">
        <f t="shared" si="28"/>
        <v>43839</v>
      </c>
      <c r="L39" s="71"/>
      <c r="O39" s="160">
        <v>23</v>
      </c>
      <c r="P39" s="160" t="str">
        <f t="shared" ca="1" si="24"/>
        <v>Bogense</v>
      </c>
      <c r="Q39" s="160" t="str">
        <f t="shared" ca="1" si="24"/>
        <v>Christiansfelt</v>
      </c>
      <c r="R39" s="161">
        <v>43839</v>
      </c>
      <c r="S39" s="162" t="s">
        <v>33</v>
      </c>
      <c r="T39" s="163">
        <v>1</v>
      </c>
      <c r="U39" s="164">
        <v>2</v>
      </c>
      <c r="V39" s="165">
        <v>4</v>
      </c>
      <c r="W39" s="166">
        <f t="shared" si="25"/>
        <v>0</v>
      </c>
      <c r="X39" s="166">
        <f t="shared" si="26"/>
        <v>3</v>
      </c>
    </row>
    <row r="40" spans="1:24" ht="18" thickBot="1" x14ac:dyDescent="0.4">
      <c r="B40" s="14"/>
      <c r="C40" s="67" t="s">
        <v>90</v>
      </c>
      <c r="D40" s="66">
        <f t="shared" si="27"/>
        <v>0</v>
      </c>
      <c r="E40" s="67">
        <v>1</v>
      </c>
      <c r="F40" s="68">
        <f t="shared" si="20"/>
        <v>5</v>
      </c>
      <c r="G40" s="68">
        <f t="shared" si="21"/>
        <v>2</v>
      </c>
      <c r="H40" s="69" t="str">
        <f t="shared" si="22"/>
        <v>T_01</v>
      </c>
      <c r="I40" s="69" t="str">
        <f t="shared" si="23"/>
        <v>T_04</v>
      </c>
      <c r="J40" s="69">
        <v>7</v>
      </c>
      <c r="K40" s="70">
        <f t="shared" si="28"/>
        <v>43839</v>
      </c>
      <c r="L40" s="71"/>
      <c r="O40" s="124">
        <v>24</v>
      </c>
      <c r="P40" s="124" t="str">
        <f t="shared" ca="1" si="24"/>
        <v>Assens</v>
      </c>
      <c r="Q40" s="124" t="str">
        <f t="shared" ca="1" si="24"/>
        <v>Dragør</v>
      </c>
      <c r="R40" s="135">
        <v>43839</v>
      </c>
      <c r="S40" s="125" t="str">
        <f>IFERROR(S39+mMin,"-")</f>
        <v>-</v>
      </c>
      <c r="T40" s="149">
        <v>2</v>
      </c>
      <c r="U40" s="150">
        <v>2</v>
      </c>
      <c r="V40" s="151">
        <v>5</v>
      </c>
      <c r="W40" s="126">
        <f t="shared" si="25"/>
        <v>0</v>
      </c>
      <c r="X40" s="126">
        <f t="shared" si="26"/>
        <v>3</v>
      </c>
    </row>
    <row r="41" spans="1:24" ht="18" thickBot="1" x14ac:dyDescent="0.4">
      <c r="H41" s="19" t="s">
        <v>34</v>
      </c>
      <c r="I41" s="19" t="s">
        <v>35</v>
      </c>
      <c r="J41" s="15"/>
      <c r="K41" s="17"/>
      <c r="L41" s="71"/>
      <c r="P41" s="92"/>
      <c r="Q41" s="92"/>
      <c r="R41" s="92"/>
      <c r="S41" s="5"/>
      <c r="T41" s="5"/>
      <c r="U41" s="18"/>
      <c r="V41" s="40"/>
    </row>
    <row r="42" spans="1:24" ht="18" thickBot="1" x14ac:dyDescent="0.4">
      <c r="H42" s="20" t="str">
        <f>IF(ISNUMBER(U42),IF(U42&gt;V42,P42,Q42),"")</f>
        <v/>
      </c>
      <c r="I42" s="20" t="str">
        <f>IF(ISNUMBER(U42),IF(H42=P42,Q42,P42),"")</f>
        <v/>
      </c>
      <c r="J42" s="15">
        <v>10</v>
      </c>
      <c r="K42" s="17">
        <f t="shared" si="28"/>
        <v>43842</v>
      </c>
      <c r="L42" s="71"/>
      <c r="O42" s="89" t="s">
        <v>64</v>
      </c>
      <c r="P42" s="90"/>
      <c r="Q42" s="90"/>
      <c r="R42" s="174">
        <v>41660</v>
      </c>
      <c r="S42" s="175">
        <v>0.54166666666666663</v>
      </c>
      <c r="T42" s="176">
        <v>2</v>
      </c>
      <c r="U42" s="177"/>
      <c r="V42" s="178"/>
      <c r="W42" s="21" t="str">
        <f t="shared" ref="W42" si="29">IF(ISNUMBER(U42)*ISNUMBER(V42),IF(U42&gt;V42,ptv, IF(U42=V42,ptu,ptt)),"-")</f>
        <v>-</v>
      </c>
      <c r="X42" s="21" t="str">
        <f t="shared" ref="X42" si="30">IF(ISNUMBER(U42)*ISNUMBER(V42),IF(W42=ptv,ptt,IF(W42=ptu,ptu,ptv)),"-")</f>
        <v>-</v>
      </c>
    </row>
    <row r="43" spans="1:24" ht="15" thickBot="1" x14ac:dyDescent="0.25">
      <c r="H43" s="19" t="s">
        <v>36</v>
      </c>
      <c r="I43" s="19" t="s">
        <v>37</v>
      </c>
      <c r="J43" s="15"/>
      <c r="K43" s="17"/>
      <c r="L43" s="71"/>
      <c r="P43" s="92"/>
      <c r="Q43" s="92"/>
      <c r="R43" s="92"/>
      <c r="S43" s="5"/>
      <c r="T43" s="5"/>
      <c r="U43" s="5"/>
      <c r="V43" s="94"/>
    </row>
    <row r="44" spans="1:24" ht="18" thickBot="1" x14ac:dyDescent="0.4">
      <c r="H44" s="20" t="str">
        <f>IF(ISNUMBER(U44),IF(U44&gt;V44,P44,Q44),"")</f>
        <v/>
      </c>
      <c r="I44" s="20" t="str">
        <f>IF(ISNUMBER(U44),IF(H44=P44,Q44,P44),"")</f>
        <v/>
      </c>
      <c r="J44" s="15">
        <v>11</v>
      </c>
      <c r="K44" s="17">
        <f t="shared" si="28"/>
        <v>43843</v>
      </c>
      <c r="L44" s="71"/>
      <c r="O44" s="88" t="s">
        <v>175</v>
      </c>
      <c r="P44" s="90"/>
      <c r="Q44" s="90"/>
      <c r="R44" s="174">
        <v>41661</v>
      </c>
      <c r="S44" s="175">
        <v>0.54166666666666663</v>
      </c>
      <c r="T44" s="176">
        <v>2</v>
      </c>
      <c r="U44" s="177"/>
      <c r="V44" s="178"/>
      <c r="W44" s="21" t="str">
        <f t="shared" ref="W44" si="31">IF(ISNUMBER(U44)*ISNUMBER(V44),IF(U44&gt;V44,ptv, IF(U44=V44,ptu,ptt)),"-")</f>
        <v>-</v>
      </c>
      <c r="X44" s="21" t="str">
        <f t="shared" ref="X44" si="32">IF(ISNUMBER(U44)*ISNUMBER(V44),IF(W44=ptv,ptt,IF(W44=ptu,ptu,ptv)),"-")</f>
        <v>-</v>
      </c>
    </row>
    <row r="45" spans="1:24" ht="14.4" x14ac:dyDescent="0.2">
      <c r="L45" s="71"/>
    </row>
  </sheetData>
  <sheetProtection sheet="1" objects="1" scenarios="1"/>
  <conditionalFormatting sqref="D18:D19">
    <cfRule type="expression" dxfId="80" priority="4">
      <formula>D18=1</formula>
    </cfRule>
  </conditionalFormatting>
  <conditionalFormatting sqref="D20:D40">
    <cfRule type="expression" dxfId="79" priority="3">
      <formula>D20=1</formula>
    </cfRule>
  </conditionalFormatting>
  <conditionalFormatting sqref="B11:E14">
    <cfRule type="duplicateValues" dxfId="78" priority="61"/>
    <cfRule type="expression" dxfId="77" priority="62">
      <formula>AND(B11&lt;=$E$8,ISNUMBER(B11))</formula>
    </cfRule>
  </conditionalFormatting>
  <conditionalFormatting sqref="L3:L6">
    <cfRule type="duplicateValues" dxfId="76" priority="77"/>
  </conditionalFormatting>
  <conditionalFormatting sqref="M3:M6">
    <cfRule type="duplicateValues" dxfId="75" priority="78"/>
  </conditionalFormatting>
  <dataValidations count="1">
    <dataValidation type="list" allowBlank="1" showInputMessage="1" showErrorMessage="1" sqref="P42:Q42 P44:Q44" xr:uid="{C8FC0051-F264-4A25-B625-37A04596F250}">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0DAD-B2E5-40C8-98B5-295B81AED99C}">
  <sheetPr codeName="grp05x1">
    <tabColor rgb="FFFFC000"/>
    <outlinePr showOutlineSymbols="0"/>
    <pageSetUpPr fitToPage="1"/>
  </sheetPr>
  <dimension ref="A1:X33"/>
  <sheetViews>
    <sheetView showGridLines="0" showRowColHeaders="0" showOutlineSymbols="0" zoomScaleNormal="100" zoomScaleSheetLayoutView="100" workbookViewId="0">
      <pane ySplit="18" topLeftCell="A19" activePane="bottomLeft" state="frozen"/>
      <selection activeCell="L43" sqref="L43"/>
      <selection pane="bottomLeft" activeCell="P19" sqref="P19"/>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6"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201</v>
      </c>
      <c r="C1" t="s">
        <v>179</v>
      </c>
      <c r="G1" t="s">
        <v>186</v>
      </c>
      <c r="L1" t="s">
        <v>192</v>
      </c>
    </row>
    <row r="2" spans="1:24" ht="13.8" hidden="1" outlineLevel="1" x14ac:dyDescent="0.3">
      <c r="A2" s="3" t="s">
        <v>185</v>
      </c>
      <c r="B2" s="3" t="s">
        <v>180</v>
      </c>
      <c r="C2" s="95" t="s">
        <v>9</v>
      </c>
      <c r="D2" s="95" t="s">
        <v>10</v>
      </c>
      <c r="E2" s="39" t="s">
        <v>177</v>
      </c>
      <c r="F2" s="95" t="s">
        <v>178</v>
      </c>
      <c r="G2" s="95" t="s">
        <v>166</v>
      </c>
      <c r="H2" s="101" t="s">
        <v>166</v>
      </c>
      <c r="I2" s="101" t="s">
        <v>182</v>
      </c>
      <c r="J2" s="101" t="s">
        <v>183</v>
      </c>
      <c r="K2" s="101" t="s">
        <v>184</v>
      </c>
      <c r="L2" s="102" t="s">
        <v>167</v>
      </c>
      <c r="M2" s="100" t="s">
        <v>181</v>
      </c>
    </row>
    <row r="3" spans="1:24" hidden="1" outlineLevel="1" x14ac:dyDescent="0.2">
      <c r="A3" s="103">
        <v>1</v>
      </c>
      <c r="B3" s="103" t="str">
        <f t="shared" ref="B3:B7" si="0">INDEX(xTeams,A3,1)</f>
        <v>Assens</v>
      </c>
      <c r="C3" s="96">
        <f t="shared" ref="C3" ca="1" si="1">SUMIF(team1,teams,goals1)+SUMIF(team2,teams,goals2)</f>
        <v>14</v>
      </c>
      <c r="D3" s="96">
        <f t="shared" ref="D3" ca="1" si="2">SUMIF(team1,teams,goals2)+SUMIF(team2,teams,goals1)</f>
        <v>15</v>
      </c>
      <c r="E3" s="104">
        <f t="shared" ref="E3:E7" ca="1" si="3">SUMIFS(
   points1,team1,teams
) +
  SUMIFS(points2,team2,teams)</f>
        <v>6</v>
      </c>
      <c r="F3" s="96">
        <f t="shared" ref="F3:F7" ca="1" si="4">C3-D3</f>
        <v>-1</v>
      </c>
      <c r="G3" s="96">
        <f t="shared" ref="G3:G7" ca="1" si="5">COUNTIFS(team1,$B3,points1,"&gt;=0")+COUNTIFS(team2,$B3,points2,"&gt;=0")</f>
        <v>4</v>
      </c>
      <c r="H3" s="105">
        <f ca="1">IF(G3=0,1,0)</f>
        <v>0</v>
      </c>
      <c r="I3" s="105">
        <f ca="1">RANK($E3,$E$3:$E$7,0)</f>
        <v>2</v>
      </c>
      <c r="J3" s="98">
        <f ca="1">RANK($F3,$F$3:$F$7,0)/10</f>
        <v>0.3</v>
      </c>
      <c r="K3" s="99">
        <f ca="1">RANK($C3,$C$3:$C$7,0)/100</f>
        <v>0.02</v>
      </c>
      <c r="L3" s="99">
        <f ca="1">SUM(H3:K3)</f>
        <v>2.3199999999999998</v>
      </c>
      <c r="M3" s="96">
        <f ca="1">RANK($L3,$L$3:$L$7,1) + COUNTIF($L$3:$L3,$L3)-1</f>
        <v>3</v>
      </c>
    </row>
    <row r="4" spans="1:24" hidden="1" outlineLevel="1" x14ac:dyDescent="0.2">
      <c r="A4" s="103">
        <v>2</v>
      </c>
      <c r="B4" s="103" t="str">
        <f t="shared" si="0"/>
        <v>Bogense</v>
      </c>
      <c r="C4" s="96">
        <f t="shared" ref="C4:C7" ca="1" si="6">SUMIF(team1,teams,goals1)+SUMIF(team2,teams,goals2)</f>
        <v>9</v>
      </c>
      <c r="D4" s="96">
        <f t="shared" ref="D4:D7" ca="1" si="7">SUMIF(team1,teams,goals2)+SUMIF(team2,teams,goals1)</f>
        <v>8</v>
      </c>
      <c r="E4" s="104">
        <f t="shared" ca="1" si="3"/>
        <v>6</v>
      </c>
      <c r="F4" s="96">
        <f t="shared" ca="1" si="4"/>
        <v>1</v>
      </c>
      <c r="G4" s="96">
        <f t="shared" ca="1" si="5"/>
        <v>4</v>
      </c>
      <c r="H4" s="105">
        <f t="shared" ref="H4:H7" ca="1" si="8">IF(G4=0,1,0)</f>
        <v>0</v>
      </c>
      <c r="I4" s="105">
        <f ca="1">RANK($E4,$E$3:$E$7,0)</f>
        <v>2</v>
      </c>
      <c r="J4" s="98">
        <f ca="1">RANK($F4,$F$3:$F$7,0)/10</f>
        <v>0.2</v>
      </c>
      <c r="K4" s="99">
        <f ca="1">RANK($C4,$C$3:$C$7,0)/100</f>
        <v>0.04</v>
      </c>
      <c r="L4" s="99">
        <f t="shared" ref="L4:L7" ca="1" si="9">SUM(H4:K4)</f>
        <v>2.2400000000000002</v>
      </c>
      <c r="M4" s="96">
        <f ca="1">RANK($L4,$L$3:$L$7,1) + COUNTIF($L$3:$L4,$L4)-1</f>
        <v>2</v>
      </c>
    </row>
    <row r="5" spans="1:24" hidden="1" outlineLevel="1" x14ac:dyDescent="0.2">
      <c r="A5" s="103">
        <v>3</v>
      </c>
      <c r="B5" s="103" t="str">
        <f t="shared" si="0"/>
        <v>Christiansfelt</v>
      </c>
      <c r="C5" s="96">
        <f t="shared" ca="1" si="6"/>
        <v>15</v>
      </c>
      <c r="D5" s="96">
        <f t="shared" ca="1" si="7"/>
        <v>8</v>
      </c>
      <c r="E5" s="104">
        <f t="shared" ca="1" si="3"/>
        <v>10</v>
      </c>
      <c r="F5" s="96">
        <f t="shared" ca="1" si="4"/>
        <v>7</v>
      </c>
      <c r="G5" s="96">
        <f t="shared" ca="1" si="5"/>
        <v>4</v>
      </c>
      <c r="H5" s="105">
        <f t="shared" ca="1" si="8"/>
        <v>0</v>
      </c>
      <c r="I5" s="105">
        <f ca="1">RANK($E5,$E$3:$E$7,0)</f>
        <v>1</v>
      </c>
      <c r="J5" s="98">
        <f ca="1">RANK($F5,$F$3:$F$7,0)/10</f>
        <v>0.1</v>
      </c>
      <c r="K5" s="99">
        <f ca="1">RANK($C5,$C$3:$C$7,0)/100</f>
        <v>0.01</v>
      </c>
      <c r="L5" s="99">
        <f t="shared" ca="1" si="9"/>
        <v>1.1100000000000001</v>
      </c>
      <c r="M5" s="96">
        <f ca="1">RANK($L5,$L$3:$L$7,1) + COUNTIF($L$3:$L5,$L5)-1</f>
        <v>1</v>
      </c>
    </row>
    <row r="6" spans="1:24" hidden="1" outlineLevel="1" x14ac:dyDescent="0.2">
      <c r="A6" s="103">
        <v>4</v>
      </c>
      <c r="B6" s="103" t="str">
        <f t="shared" si="0"/>
        <v>Dragør</v>
      </c>
      <c r="C6" s="96">
        <f t="shared" ca="1" si="6"/>
        <v>13</v>
      </c>
      <c r="D6" s="96">
        <f t="shared" ca="1" si="7"/>
        <v>17</v>
      </c>
      <c r="E6" s="104">
        <f t="shared" ca="1" si="3"/>
        <v>4</v>
      </c>
      <c r="F6" s="96">
        <f t="shared" ca="1" si="4"/>
        <v>-4</v>
      </c>
      <c r="G6" s="96">
        <f t="shared" ca="1" si="5"/>
        <v>4</v>
      </c>
      <c r="H6" s="105">
        <f t="shared" ca="1" si="8"/>
        <v>0</v>
      </c>
      <c r="I6" s="105">
        <f ca="1">RANK($E6,$E$3:$E$7,0)</f>
        <v>4</v>
      </c>
      <c r="J6" s="98">
        <f ca="1">RANK($F6,$F$3:$F$7,0)/10</f>
        <v>0.5</v>
      </c>
      <c r="K6" s="99">
        <f ca="1">RANK($C6,$C$3:$C$7,0)/100</f>
        <v>0.03</v>
      </c>
      <c r="L6" s="99">
        <f t="shared" ca="1" si="9"/>
        <v>4.53</v>
      </c>
      <c r="M6" s="96">
        <f ca="1">RANK($L6,$L$3:$L$7,1) + COUNTIF($L$3:$L6,$L6)-1</f>
        <v>4</v>
      </c>
    </row>
    <row r="7" spans="1:24" hidden="1" outlineLevel="1" x14ac:dyDescent="0.2">
      <c r="A7" s="103">
        <v>5</v>
      </c>
      <c r="B7" s="103" t="str">
        <f t="shared" si="0"/>
        <v>Ejby</v>
      </c>
      <c r="C7" s="96">
        <f t="shared" ca="1" si="6"/>
        <v>9</v>
      </c>
      <c r="D7" s="96">
        <f t="shared" ca="1" si="7"/>
        <v>12</v>
      </c>
      <c r="E7" s="104">
        <f t="shared" ca="1" si="3"/>
        <v>3</v>
      </c>
      <c r="F7" s="96">
        <f t="shared" ca="1" si="4"/>
        <v>-3</v>
      </c>
      <c r="G7" s="96">
        <f t="shared" ca="1" si="5"/>
        <v>4</v>
      </c>
      <c r="H7" s="105">
        <f t="shared" ca="1" si="8"/>
        <v>0</v>
      </c>
      <c r="I7" s="105">
        <f ca="1">RANK($E7,$E$3:$E$7,0)</f>
        <v>5</v>
      </c>
      <c r="J7" s="98">
        <f ca="1">RANK($F7,$F$3:$F$7,0)/10</f>
        <v>0.4</v>
      </c>
      <c r="K7" s="99">
        <f ca="1">RANK($C7,$C$3:$C$7,0)/100</f>
        <v>0.04</v>
      </c>
      <c r="L7" s="99">
        <f t="shared" ca="1" si="9"/>
        <v>5.44</v>
      </c>
      <c r="M7" s="96">
        <f ca="1">RANK($L7,$L$3:$L$7,1) + COUNTIF($L$3:$L7,$L7)-1</f>
        <v>5</v>
      </c>
    </row>
    <row r="8" spans="1:24" ht="13.2" collapsed="1" thickBot="1" x14ac:dyDescent="0.25">
      <c r="O8"/>
      <c r="P8"/>
      <c r="Q8"/>
      <c r="R8"/>
    </row>
    <row r="9" spans="1:24" s="4" customFormat="1" ht="24" thickBot="1" x14ac:dyDescent="0.5">
      <c r="A9" s="42" t="s">
        <v>168</v>
      </c>
      <c r="B9" s="74">
        <v>6</v>
      </c>
      <c r="C9" s="72"/>
      <c r="D9" s="73" t="s">
        <v>65</v>
      </c>
      <c r="E9" s="74">
        <f>(B9/2)*(B9-1)</f>
        <v>15</v>
      </c>
      <c r="O9" s="75" t="str">
        <f>TurneringsNavn</f>
        <v>Forårsstævne</v>
      </c>
      <c r="P9" s="5"/>
      <c r="Q9" s="5"/>
      <c r="R9" s="5"/>
      <c r="S9" s="5"/>
      <c r="T9" s="5"/>
      <c r="U9" s="5"/>
      <c r="V9" s="5"/>
      <c r="W9" s="5"/>
      <c r="X9" s="5"/>
    </row>
    <row r="10" spans="1:24" ht="6.75" customHeight="1" x14ac:dyDescent="0.2">
      <c r="K10" s="4"/>
      <c r="L10" s="4"/>
      <c r="O10"/>
      <c r="P10"/>
      <c r="Q10"/>
      <c r="R10"/>
    </row>
    <row r="11" spans="1:24" ht="13.8" x14ac:dyDescent="0.25">
      <c r="B11" s="6" t="s">
        <v>66</v>
      </c>
      <c r="C11" s="6" t="s">
        <v>67</v>
      </c>
      <c r="D11" s="6" t="s">
        <v>68</v>
      </c>
      <c r="E11" s="6" t="s">
        <v>69</v>
      </c>
      <c r="F11" s="6" t="s">
        <v>70</v>
      </c>
      <c r="G11" s="7" t="s">
        <v>2</v>
      </c>
      <c r="H11" s="6" t="s">
        <v>3</v>
      </c>
      <c r="I11" s="6" t="s">
        <v>4</v>
      </c>
      <c r="J11" s="6" t="s">
        <v>167</v>
      </c>
      <c r="K11" s="4"/>
      <c r="O11" s="128" t="s">
        <v>198</v>
      </c>
      <c r="P11" s="129" t="s">
        <v>176</v>
      </c>
      <c r="Q11" s="129"/>
      <c r="R11" s="130" t="s">
        <v>5</v>
      </c>
      <c r="S11" s="128" t="s">
        <v>6</v>
      </c>
      <c r="T11" s="128" t="s">
        <v>7</v>
      </c>
      <c r="U11" s="128" t="s">
        <v>8</v>
      </c>
      <c r="V11" s="128" t="s">
        <v>9</v>
      </c>
      <c r="W11" s="128" t="s">
        <v>10</v>
      </c>
      <c r="X11" s="131" t="s">
        <v>177</v>
      </c>
    </row>
    <row r="12" spans="1:24" ht="17.399999999999999" x14ac:dyDescent="0.35">
      <c r="A12" s="6" t="s">
        <v>66</v>
      </c>
      <c r="B12" s="8"/>
      <c r="C12" s="9">
        <v>9</v>
      </c>
      <c r="D12" s="9"/>
      <c r="E12" s="9">
        <v>5</v>
      </c>
      <c r="F12" s="9"/>
      <c r="G12" s="10" t="str">
        <f ca="1">IFERROR(CHOOSE((P12=H$32)*1+(P12=I$32)*2+(P12=H$30)*3,"Guld","Sølv","Bronze"),"")</f>
        <v/>
      </c>
      <c r="H12" s="11">
        <f t="shared" ref="H12:I16" ca="1" si="10">COUNTIF(P$19:P$28,$B3)</f>
        <v>2</v>
      </c>
      <c r="I12" s="11">
        <f t="shared" ca="1" si="10"/>
        <v>2</v>
      </c>
      <c r="J12" s="11">
        <f ca="1">SUM(H12:I12)</f>
        <v>4</v>
      </c>
      <c r="K12" s="4"/>
      <c r="O12" s="119">
        <v>1</v>
      </c>
      <c r="P12" s="120" t="str">
        <f ca="1" xml:space="preserve">  INDEX(teams,MATCH(rankNum,actRank,0))</f>
        <v>Christiansfelt</v>
      </c>
      <c r="Q12" s="120"/>
      <c r="R12" s="127">
        <f t="shared" ref="R12:R16" ca="1" si="11">COUNTIFS(team1,teamName,points1,"&gt;=0")+COUNTIFS(team2,teamName,points2,"&gt;=0")</f>
        <v>4</v>
      </c>
      <c r="S12" s="143">
        <f t="shared" ref="S12:S16" ca="1" si="12">COUNTIFS(team1,teamName,points1,ptv)+COUNTIFS(team2,teamName,points2,ptv)</f>
        <v>3</v>
      </c>
      <c r="T12" s="121">
        <f t="shared" ref="T12:T16" ca="1" si="13">COUNTIFS(team1,teamName,points1,ptu)+COUNTIFS(team2,teamName,points2,ptu)</f>
        <v>1</v>
      </c>
      <c r="U12" s="121">
        <f t="shared" ref="U12:U16" ca="1" si="14">COUNTIFS(team1,teamName,points1,ptt)+COUNTIFS(team2,teamName,points2,ptt)</f>
        <v>0</v>
      </c>
      <c r="V12" s="143">
        <f t="shared" ref="V12:V16" ca="1" si="15">SUMIF(team1,teamName,goals1)+SUMIF(team2,teamName,goals2)</f>
        <v>15</v>
      </c>
      <c r="W12" s="121">
        <f t="shared" ref="W12:W16" ca="1" si="16">SUMIF(team1,teamName,goals2)+SUMIF(team2,teamName,goals1)</f>
        <v>8</v>
      </c>
      <c r="X12" s="144">
        <f t="shared" ref="X12:X16" ca="1" si="17">SUMIFS(points1,team1,teamName)+SUMIFS(points2,team2,teamName)</f>
        <v>10</v>
      </c>
    </row>
    <row r="13" spans="1:24" ht="17.399999999999999" x14ac:dyDescent="0.35">
      <c r="A13" s="6" t="s">
        <v>67</v>
      </c>
      <c r="B13" s="9"/>
      <c r="C13" s="8"/>
      <c r="D13" s="9">
        <v>4</v>
      </c>
      <c r="E13" s="9"/>
      <c r="F13" s="9">
        <v>1</v>
      </c>
      <c r="G13" s="10" t="str">
        <f ca="1">IFERROR(CHOOSE((P13=H$32)*1+(P13=I$32)*2+(P13=H$30)*3,"Guld","Sølv","Bronze"),"")</f>
        <v/>
      </c>
      <c r="H13" s="11">
        <f t="shared" ca="1" si="10"/>
        <v>2</v>
      </c>
      <c r="I13" s="11">
        <f t="shared" ca="1" si="10"/>
        <v>2</v>
      </c>
      <c r="J13" s="11">
        <f ca="1">SUM(H13:I13)</f>
        <v>4</v>
      </c>
      <c r="K13" s="4"/>
      <c r="O13" s="119">
        <v>2</v>
      </c>
      <c r="P13" s="120" t="str">
        <f t="shared" ref="P13:P16" ca="1" si="18" xml:space="preserve">  INDEX(teams,MATCH(rankNum,actRank,0))</f>
        <v>Bogense</v>
      </c>
      <c r="Q13" s="120"/>
      <c r="R13" s="127">
        <f t="shared" ca="1" si="11"/>
        <v>4</v>
      </c>
      <c r="S13" s="143">
        <f t="shared" ca="1" si="12"/>
        <v>2</v>
      </c>
      <c r="T13" s="121">
        <f t="shared" ca="1" si="13"/>
        <v>0</v>
      </c>
      <c r="U13" s="121">
        <f t="shared" ca="1" si="14"/>
        <v>2</v>
      </c>
      <c r="V13" s="143">
        <f t="shared" ca="1" si="15"/>
        <v>9</v>
      </c>
      <c r="W13" s="121">
        <f t="shared" ca="1" si="16"/>
        <v>8</v>
      </c>
      <c r="X13" s="144">
        <f t="shared" ca="1" si="17"/>
        <v>6</v>
      </c>
    </row>
    <row r="14" spans="1:24" ht="17.399999999999999" x14ac:dyDescent="0.35">
      <c r="A14" s="6" t="s">
        <v>68</v>
      </c>
      <c r="B14" s="9">
        <v>7</v>
      </c>
      <c r="C14" s="9"/>
      <c r="D14" s="8"/>
      <c r="E14" s="9">
        <v>2</v>
      </c>
      <c r="F14" s="9"/>
      <c r="G14" s="10" t="str">
        <f ca="1">IFERROR(CHOOSE((P14=H$32)*1+(P14=I$32)*2+(P14=H$30)*3,"Guld","Sølv","Bronze"),"")</f>
        <v/>
      </c>
      <c r="H14" s="11">
        <f t="shared" ca="1" si="10"/>
        <v>2</v>
      </c>
      <c r="I14" s="11">
        <f t="shared" ca="1" si="10"/>
        <v>2</v>
      </c>
      <c r="J14" s="11">
        <f ca="1">SUM(H14:I14)</f>
        <v>4</v>
      </c>
      <c r="K14" s="4"/>
      <c r="O14" s="119">
        <v>3</v>
      </c>
      <c r="P14" s="120" t="str">
        <f t="shared" ca="1" si="18"/>
        <v>Assens</v>
      </c>
      <c r="Q14" s="120"/>
      <c r="R14" s="127">
        <f t="shared" ca="1" si="11"/>
        <v>4</v>
      </c>
      <c r="S14" s="143">
        <f t="shared" ca="1" si="12"/>
        <v>2</v>
      </c>
      <c r="T14" s="121">
        <f t="shared" ca="1" si="13"/>
        <v>0</v>
      </c>
      <c r="U14" s="121">
        <f t="shared" ca="1" si="14"/>
        <v>2</v>
      </c>
      <c r="V14" s="143">
        <f t="shared" ca="1" si="15"/>
        <v>14</v>
      </c>
      <c r="W14" s="121">
        <f t="shared" ca="1" si="16"/>
        <v>15</v>
      </c>
      <c r="X14" s="144">
        <f t="shared" ca="1" si="17"/>
        <v>6</v>
      </c>
    </row>
    <row r="15" spans="1:24" ht="17.399999999999999" x14ac:dyDescent="0.35">
      <c r="A15" s="6" t="s">
        <v>69</v>
      </c>
      <c r="B15" s="9"/>
      <c r="C15" s="9">
        <v>8</v>
      </c>
      <c r="D15" s="9"/>
      <c r="E15" s="8"/>
      <c r="F15" s="9">
        <v>10</v>
      </c>
      <c r="G15" s="10" t="str">
        <f ca="1">IFERROR(CHOOSE((P15=H$32)*1+(P15=I$32)*2+(P15=H$30)*3,"Guld","Sølv","Bronze"),"")</f>
        <v/>
      </c>
      <c r="H15" s="11">
        <f t="shared" ca="1" si="10"/>
        <v>2</v>
      </c>
      <c r="I15" s="11">
        <f t="shared" ca="1" si="10"/>
        <v>2</v>
      </c>
      <c r="J15" s="11">
        <f ca="1">SUM(H15:I15)</f>
        <v>4</v>
      </c>
      <c r="K15" s="4"/>
      <c r="O15" s="119">
        <v>4</v>
      </c>
      <c r="P15" s="120" t="str">
        <f t="shared" ca="1" si="18"/>
        <v>Dragør</v>
      </c>
      <c r="Q15" s="120"/>
      <c r="R15" s="127">
        <f t="shared" ca="1" si="11"/>
        <v>4</v>
      </c>
      <c r="S15" s="143">
        <f t="shared" ca="1" si="12"/>
        <v>1</v>
      </c>
      <c r="T15" s="121">
        <f t="shared" ca="1" si="13"/>
        <v>1</v>
      </c>
      <c r="U15" s="121">
        <f t="shared" ca="1" si="14"/>
        <v>2</v>
      </c>
      <c r="V15" s="143">
        <f t="shared" ca="1" si="15"/>
        <v>13</v>
      </c>
      <c r="W15" s="121">
        <f t="shared" ca="1" si="16"/>
        <v>17</v>
      </c>
      <c r="X15" s="144">
        <f t="shared" ca="1" si="17"/>
        <v>4</v>
      </c>
    </row>
    <row r="16" spans="1:24" ht="17.399999999999999" x14ac:dyDescent="0.35">
      <c r="A16" s="6" t="s">
        <v>70</v>
      </c>
      <c r="B16" s="9">
        <v>3</v>
      </c>
      <c r="C16" s="9"/>
      <c r="D16" s="9">
        <v>6</v>
      </c>
      <c r="E16" s="9"/>
      <c r="F16" s="8"/>
      <c r="G16" s="10" t="str">
        <f ca="1">IFERROR(CHOOSE((P16=H$32)*1+(P16=I$32)*2+(P16=H$30)*3,"Guld","Sølv","Bronze"),"")</f>
        <v/>
      </c>
      <c r="H16" s="11">
        <f t="shared" ca="1" si="10"/>
        <v>2</v>
      </c>
      <c r="I16" s="11">
        <f t="shared" ca="1" si="10"/>
        <v>2</v>
      </c>
      <c r="J16" s="11">
        <f ca="1">SUM(H16:I16)</f>
        <v>4</v>
      </c>
      <c r="K16" s="4"/>
      <c r="O16" s="119">
        <v>5</v>
      </c>
      <c r="P16" s="120" t="str">
        <f t="shared" ca="1" si="18"/>
        <v>Ejby</v>
      </c>
      <c r="Q16" s="120"/>
      <c r="R16" s="127">
        <f t="shared" ca="1" si="11"/>
        <v>4</v>
      </c>
      <c r="S16" s="143">
        <f t="shared" ca="1" si="12"/>
        <v>1</v>
      </c>
      <c r="T16" s="121">
        <f t="shared" ca="1" si="13"/>
        <v>0</v>
      </c>
      <c r="U16" s="121">
        <f t="shared" ca="1" si="14"/>
        <v>3</v>
      </c>
      <c r="V16" s="143">
        <f t="shared" ca="1" si="15"/>
        <v>9</v>
      </c>
      <c r="W16" s="121">
        <f t="shared" ca="1" si="16"/>
        <v>12</v>
      </c>
      <c r="X16" s="144">
        <f t="shared" ca="1" si="17"/>
        <v>3</v>
      </c>
    </row>
    <row r="17" spans="1:24" x14ac:dyDescent="0.2">
      <c r="O17"/>
      <c r="P17"/>
      <c r="Q17"/>
      <c r="R17"/>
    </row>
    <row r="18" spans="1:24" s="12" customFormat="1" ht="15" thickBot="1" x14ac:dyDescent="0.35">
      <c r="C18" s="44" t="s">
        <v>17</v>
      </c>
      <c r="D18" s="45" t="s">
        <v>18</v>
      </c>
      <c r="E18" s="61" t="s">
        <v>19</v>
      </c>
      <c r="F18" s="47" t="s">
        <v>20</v>
      </c>
      <c r="G18" s="47" t="s">
        <v>21</v>
      </c>
      <c r="H18" s="47" t="s">
        <v>22</v>
      </c>
      <c r="I18" s="47" t="s">
        <v>23</v>
      </c>
      <c r="J18" s="48" t="s">
        <v>24</v>
      </c>
      <c r="K18" s="49" t="s">
        <v>25</v>
      </c>
      <c r="L18" s="49"/>
      <c r="O18" s="140" t="s">
        <v>5</v>
      </c>
      <c r="P18" s="139" t="s">
        <v>26</v>
      </c>
      <c r="Q18" s="139" t="s">
        <v>27</v>
      </c>
      <c r="R18" s="179" t="s">
        <v>28</v>
      </c>
      <c r="S18" s="179" t="s">
        <v>29</v>
      </c>
      <c r="T18" s="179" t="s">
        <v>30</v>
      </c>
      <c r="U18" s="180" t="s">
        <v>31</v>
      </c>
      <c r="V18" s="180" t="s">
        <v>31</v>
      </c>
      <c r="W18" s="138" t="s">
        <v>32</v>
      </c>
      <c r="X18" s="138" t="s">
        <v>32</v>
      </c>
    </row>
    <row r="19" spans="1:24" ht="17.399999999999999" x14ac:dyDescent="0.35">
      <c r="A19" s="13"/>
      <c r="B19" s="14"/>
      <c r="C19" s="50" t="s">
        <v>89</v>
      </c>
      <c r="D19" s="51"/>
      <c r="E19" s="50">
        <v>1</v>
      </c>
      <c r="F19" s="52">
        <f t="shared" ref="F19:F28" si="19">SUMPRODUCT((HxA=$E19)*(COLUMN(HxA)))-COLUMN(HxA)+1</f>
        <v>6</v>
      </c>
      <c r="G19" s="52">
        <f t="shared" ref="G19:G28" si="20">SUMPRODUCT((HxA=$E19)*(ROW(HxA)))-ROW(HxA)+1</f>
        <v>3</v>
      </c>
      <c r="H19" s="53" t="str">
        <f t="shared" ref="H19:H28" si="21">INDEX(HxA,G19,1)</f>
        <v>T_02</v>
      </c>
      <c r="I19" s="53" t="str">
        <f t="shared" ref="I19:I28" si="22">INDEX(HxA,1,F19)</f>
        <v>T_05</v>
      </c>
      <c r="J19" s="54"/>
      <c r="K19" s="55">
        <v>43832</v>
      </c>
      <c r="L19" s="71"/>
      <c r="O19" s="186">
        <v>1</v>
      </c>
      <c r="P19" s="186" t="str">
        <f t="shared" ref="P19:Q28" ca="1" si="23">INDIRECT(H19)</f>
        <v>Bogense</v>
      </c>
      <c r="Q19" s="186" t="str">
        <f t="shared" ca="1" si="23"/>
        <v>Ejby</v>
      </c>
      <c r="R19" s="187">
        <v>43832</v>
      </c>
      <c r="S19" s="188" t="s">
        <v>33</v>
      </c>
      <c r="T19" s="189">
        <v>1</v>
      </c>
      <c r="U19" s="190">
        <v>0</v>
      </c>
      <c r="V19" s="191">
        <v>4</v>
      </c>
      <c r="W19" s="192">
        <f t="shared" ref="W19:W28" si="24">IF(ISNUMBER(U19)*ISNUMBER(V19),IF(U19&gt;V19,ptv, IF(U19=V19,ptu,ptt)),"-")</f>
        <v>0</v>
      </c>
      <c r="X19" s="192">
        <f t="shared" ref="X19:X28" si="25">IF(ISNUMBER(U19)*ISNUMBER(V19),IF(W19=ptv,ptt,IF(W19=ptu,ptu,ptv)),"-")</f>
        <v>3</v>
      </c>
    </row>
    <row r="20" spans="1:24" ht="18" thickBot="1" x14ac:dyDescent="0.4">
      <c r="A20" s="13"/>
      <c r="B20" s="14"/>
      <c r="C20" s="56" t="s">
        <v>90</v>
      </c>
      <c r="D20" s="57">
        <f>OR(H20=H19,H20=I19,I20=H19,I20=I19)*1</f>
        <v>0</v>
      </c>
      <c r="E20" s="56">
        <v>2</v>
      </c>
      <c r="F20" s="58">
        <f t="shared" si="19"/>
        <v>5</v>
      </c>
      <c r="G20" s="58">
        <f t="shared" si="20"/>
        <v>4</v>
      </c>
      <c r="H20" s="59" t="str">
        <f t="shared" si="21"/>
        <v>T_03</v>
      </c>
      <c r="I20" s="59" t="str">
        <f t="shared" si="22"/>
        <v>T_04</v>
      </c>
      <c r="J20" s="59">
        <v>0</v>
      </c>
      <c r="K20" s="60">
        <f>$K$19+J20</f>
        <v>43832</v>
      </c>
      <c r="L20" s="71"/>
      <c r="O20" s="124">
        <v>2</v>
      </c>
      <c r="P20" s="124" t="str">
        <f t="shared" ca="1" si="23"/>
        <v>Christiansfelt</v>
      </c>
      <c r="Q20" s="124" t="str">
        <f t="shared" ca="1" si="23"/>
        <v>Dragør</v>
      </c>
      <c r="R20" s="135">
        <v>43832</v>
      </c>
      <c r="S20" s="125" t="str">
        <f>IFERROR(S19+mMin,"-")</f>
        <v>-</v>
      </c>
      <c r="T20" s="149">
        <v>2</v>
      </c>
      <c r="U20" s="150">
        <v>5</v>
      </c>
      <c r="V20" s="151">
        <v>5</v>
      </c>
      <c r="W20" s="126">
        <f t="shared" si="24"/>
        <v>1</v>
      </c>
      <c r="X20" s="126">
        <f t="shared" si="25"/>
        <v>1</v>
      </c>
    </row>
    <row r="21" spans="1:24" ht="18" thickBot="1" x14ac:dyDescent="0.4">
      <c r="A21" s="13"/>
      <c r="B21" s="14"/>
      <c r="C21" s="67" t="s">
        <v>101</v>
      </c>
      <c r="D21" s="66">
        <f t="shared" ref="D21:D28" si="26">OR(H21=H20,H21=I20,I21=H20,I21=I20)*1</f>
        <v>0</v>
      </c>
      <c r="E21" s="67">
        <v>3</v>
      </c>
      <c r="F21" s="68">
        <f t="shared" si="19"/>
        <v>2</v>
      </c>
      <c r="G21" s="68">
        <f t="shared" si="20"/>
        <v>6</v>
      </c>
      <c r="H21" s="69" t="str">
        <f t="shared" si="21"/>
        <v>T_05</v>
      </c>
      <c r="I21" s="69" t="str">
        <f t="shared" si="22"/>
        <v>T_01</v>
      </c>
      <c r="J21" s="69">
        <v>0</v>
      </c>
      <c r="K21" s="70">
        <f t="shared" ref="K21:K32" si="27">$K$19+J21</f>
        <v>43832</v>
      </c>
      <c r="L21" s="71"/>
      <c r="O21" s="193">
        <v>3</v>
      </c>
      <c r="P21" s="193" t="str">
        <f t="shared" ca="1" si="23"/>
        <v>Ejby</v>
      </c>
      <c r="Q21" s="193" t="str">
        <f t="shared" ca="1" si="23"/>
        <v>Assens</v>
      </c>
      <c r="R21" s="194">
        <v>43832</v>
      </c>
      <c r="S21" s="195" t="s">
        <v>33</v>
      </c>
      <c r="T21" s="196">
        <v>1</v>
      </c>
      <c r="U21" s="197">
        <v>3</v>
      </c>
      <c r="V21" s="198">
        <v>5</v>
      </c>
      <c r="W21" s="199">
        <f t="shared" si="24"/>
        <v>0</v>
      </c>
      <c r="X21" s="199">
        <f t="shared" si="25"/>
        <v>3</v>
      </c>
    </row>
    <row r="22" spans="1:24" ht="18" thickBot="1" x14ac:dyDescent="0.4">
      <c r="A22" s="13"/>
      <c r="B22" s="14"/>
      <c r="C22" s="63" t="s">
        <v>95</v>
      </c>
      <c r="D22" s="62">
        <f t="shared" si="26"/>
        <v>0</v>
      </c>
      <c r="E22" s="63">
        <v>4</v>
      </c>
      <c r="F22" s="51">
        <f t="shared" si="19"/>
        <v>4</v>
      </c>
      <c r="G22" s="51">
        <f t="shared" si="20"/>
        <v>3</v>
      </c>
      <c r="H22" s="64" t="str">
        <f t="shared" si="21"/>
        <v>T_02</v>
      </c>
      <c r="I22" s="64" t="str">
        <f t="shared" si="22"/>
        <v>T_03</v>
      </c>
      <c r="J22" s="64">
        <v>1</v>
      </c>
      <c r="K22" s="65">
        <f t="shared" si="27"/>
        <v>43833</v>
      </c>
      <c r="L22" s="71"/>
      <c r="O22" s="124">
        <v>4</v>
      </c>
      <c r="P22" s="124" t="str">
        <f t="shared" ca="1" si="23"/>
        <v>Bogense</v>
      </c>
      <c r="Q22" s="124" t="str">
        <f t="shared" ca="1" si="23"/>
        <v>Christiansfelt</v>
      </c>
      <c r="R22" s="135">
        <v>43833</v>
      </c>
      <c r="S22" s="125" t="str">
        <f>IFERROR(S21+mMin,"-")</f>
        <v>-</v>
      </c>
      <c r="T22" s="149">
        <v>2</v>
      </c>
      <c r="U22" s="150">
        <v>0</v>
      </c>
      <c r="V22" s="151">
        <v>2</v>
      </c>
      <c r="W22" s="126">
        <f t="shared" si="24"/>
        <v>0</v>
      </c>
      <c r="X22" s="126">
        <f t="shared" si="25"/>
        <v>3</v>
      </c>
    </row>
    <row r="23" spans="1:24" ht="17.399999999999999" x14ac:dyDescent="0.35">
      <c r="A23" s="13"/>
      <c r="B23" s="14"/>
      <c r="C23" s="56" t="s">
        <v>106</v>
      </c>
      <c r="D23" s="57">
        <f t="shared" si="26"/>
        <v>0</v>
      </c>
      <c r="E23" s="56">
        <v>5</v>
      </c>
      <c r="F23" s="58">
        <f t="shared" si="19"/>
        <v>5</v>
      </c>
      <c r="G23" s="58">
        <f t="shared" si="20"/>
        <v>2</v>
      </c>
      <c r="H23" s="59" t="str">
        <f t="shared" si="21"/>
        <v>T_01</v>
      </c>
      <c r="I23" s="59" t="str">
        <f t="shared" si="22"/>
        <v>T_04</v>
      </c>
      <c r="J23" s="59">
        <v>1</v>
      </c>
      <c r="K23" s="60">
        <f t="shared" si="27"/>
        <v>43833</v>
      </c>
      <c r="L23" s="71"/>
      <c r="O23" s="193">
        <v>5</v>
      </c>
      <c r="P23" s="193" t="str">
        <f t="shared" ca="1" si="23"/>
        <v>Assens</v>
      </c>
      <c r="Q23" s="193" t="str">
        <f t="shared" ca="1" si="23"/>
        <v>Dragør</v>
      </c>
      <c r="R23" s="194">
        <v>43833</v>
      </c>
      <c r="S23" s="195" t="s">
        <v>33</v>
      </c>
      <c r="T23" s="196">
        <v>1</v>
      </c>
      <c r="U23" s="197">
        <v>5</v>
      </c>
      <c r="V23" s="198">
        <v>3</v>
      </c>
      <c r="W23" s="199">
        <f t="shared" si="24"/>
        <v>3</v>
      </c>
      <c r="X23" s="199">
        <f t="shared" si="25"/>
        <v>0</v>
      </c>
    </row>
    <row r="24" spans="1:24" ht="18" thickBot="1" x14ac:dyDescent="0.4">
      <c r="A24" s="13"/>
      <c r="B24" s="14"/>
      <c r="C24" s="67" t="s">
        <v>107</v>
      </c>
      <c r="D24" s="66">
        <f t="shared" si="26"/>
        <v>0</v>
      </c>
      <c r="E24" s="67">
        <v>6</v>
      </c>
      <c r="F24" s="68">
        <f t="shared" si="19"/>
        <v>4</v>
      </c>
      <c r="G24" s="68">
        <f t="shared" si="20"/>
        <v>6</v>
      </c>
      <c r="H24" s="69" t="str">
        <f t="shared" si="21"/>
        <v>T_05</v>
      </c>
      <c r="I24" s="69" t="str">
        <f t="shared" si="22"/>
        <v>T_03</v>
      </c>
      <c r="J24" s="69">
        <v>1</v>
      </c>
      <c r="K24" s="70">
        <f t="shared" si="27"/>
        <v>43833</v>
      </c>
      <c r="L24" s="71"/>
      <c r="O24" s="124">
        <v>6</v>
      </c>
      <c r="P24" s="124" t="str">
        <f t="shared" ca="1" si="23"/>
        <v>Ejby</v>
      </c>
      <c r="Q24" s="124" t="str">
        <f t="shared" ca="1" si="23"/>
        <v>Christiansfelt</v>
      </c>
      <c r="R24" s="135">
        <v>43833</v>
      </c>
      <c r="S24" s="125" t="str">
        <f>IFERROR(S23+mMin,"-")</f>
        <v>-</v>
      </c>
      <c r="T24" s="149">
        <v>2</v>
      </c>
      <c r="U24" s="150">
        <v>0</v>
      </c>
      <c r="V24" s="151">
        <v>3</v>
      </c>
      <c r="W24" s="126">
        <f t="shared" si="24"/>
        <v>0</v>
      </c>
      <c r="X24" s="126">
        <f t="shared" si="25"/>
        <v>3</v>
      </c>
    </row>
    <row r="25" spans="1:24" ht="17.399999999999999" x14ac:dyDescent="0.35">
      <c r="A25" s="13"/>
      <c r="B25" s="14"/>
      <c r="C25" s="63" t="s">
        <v>111</v>
      </c>
      <c r="D25" s="62">
        <f t="shared" si="26"/>
        <v>1</v>
      </c>
      <c r="E25" s="63">
        <v>7</v>
      </c>
      <c r="F25" s="51">
        <f t="shared" si="19"/>
        <v>2</v>
      </c>
      <c r="G25" s="51">
        <f t="shared" si="20"/>
        <v>4</v>
      </c>
      <c r="H25" s="64" t="str">
        <f t="shared" si="21"/>
        <v>T_03</v>
      </c>
      <c r="I25" s="64" t="str">
        <f t="shared" si="22"/>
        <v>T_01</v>
      </c>
      <c r="J25" s="64">
        <v>2</v>
      </c>
      <c r="K25" s="65">
        <f t="shared" si="27"/>
        <v>43834</v>
      </c>
      <c r="L25" s="71"/>
      <c r="O25" s="193">
        <v>7</v>
      </c>
      <c r="P25" s="193" t="str">
        <f t="shared" ca="1" si="23"/>
        <v>Christiansfelt</v>
      </c>
      <c r="Q25" s="193" t="str">
        <f t="shared" ca="1" si="23"/>
        <v>Assens</v>
      </c>
      <c r="R25" s="194">
        <v>43834</v>
      </c>
      <c r="S25" s="195" t="s">
        <v>33</v>
      </c>
      <c r="T25" s="196">
        <v>1</v>
      </c>
      <c r="U25" s="197">
        <v>5</v>
      </c>
      <c r="V25" s="198">
        <v>3</v>
      </c>
      <c r="W25" s="199">
        <f t="shared" si="24"/>
        <v>3</v>
      </c>
      <c r="X25" s="199">
        <f t="shared" si="25"/>
        <v>0</v>
      </c>
    </row>
    <row r="26" spans="1:24" ht="18" thickBot="1" x14ac:dyDescent="0.4">
      <c r="A26" s="13"/>
      <c r="B26" s="14"/>
      <c r="C26" s="56" t="s">
        <v>112</v>
      </c>
      <c r="D26" s="57">
        <f t="shared" si="26"/>
        <v>0</v>
      </c>
      <c r="E26" s="56">
        <v>8</v>
      </c>
      <c r="F26" s="58">
        <f t="shared" si="19"/>
        <v>3</v>
      </c>
      <c r="G26" s="58">
        <f t="shared" si="20"/>
        <v>5</v>
      </c>
      <c r="H26" s="59" t="str">
        <f t="shared" si="21"/>
        <v>T_04</v>
      </c>
      <c r="I26" s="59" t="str">
        <f t="shared" si="22"/>
        <v>T_02</v>
      </c>
      <c r="J26" s="59">
        <v>2</v>
      </c>
      <c r="K26" s="60">
        <f t="shared" si="27"/>
        <v>43834</v>
      </c>
      <c r="L26" s="71"/>
      <c r="O26" s="124">
        <v>8</v>
      </c>
      <c r="P26" s="124" t="str">
        <f t="shared" ca="1" si="23"/>
        <v>Dragør</v>
      </c>
      <c r="Q26" s="124" t="str">
        <f t="shared" ca="1" si="23"/>
        <v>Bogense</v>
      </c>
      <c r="R26" s="135">
        <v>43834</v>
      </c>
      <c r="S26" s="125" t="str">
        <f>IFERROR(S25+mMin,"-")</f>
        <v>-</v>
      </c>
      <c r="T26" s="149">
        <v>2</v>
      </c>
      <c r="U26" s="150">
        <v>1</v>
      </c>
      <c r="V26" s="151">
        <v>5</v>
      </c>
      <c r="W26" s="126">
        <f t="shared" si="24"/>
        <v>0</v>
      </c>
      <c r="X26" s="126">
        <f t="shared" si="25"/>
        <v>3</v>
      </c>
    </row>
    <row r="27" spans="1:24" ht="18" thickBot="1" x14ac:dyDescent="0.4">
      <c r="A27" s="13"/>
      <c r="B27" s="14"/>
      <c r="C27" s="67" t="s">
        <v>116</v>
      </c>
      <c r="D27" s="66">
        <f t="shared" si="26"/>
        <v>1</v>
      </c>
      <c r="E27" s="67">
        <v>9</v>
      </c>
      <c r="F27" s="68">
        <f t="shared" si="19"/>
        <v>3</v>
      </c>
      <c r="G27" s="68">
        <f t="shared" si="20"/>
        <v>2</v>
      </c>
      <c r="H27" s="69" t="str">
        <f t="shared" si="21"/>
        <v>T_01</v>
      </c>
      <c r="I27" s="69" t="str">
        <f t="shared" si="22"/>
        <v>T_02</v>
      </c>
      <c r="J27" s="69">
        <v>2</v>
      </c>
      <c r="K27" s="70">
        <f t="shared" si="27"/>
        <v>43834</v>
      </c>
      <c r="L27" s="71"/>
      <c r="O27" s="193">
        <v>9</v>
      </c>
      <c r="P27" s="193" t="str">
        <f t="shared" ca="1" si="23"/>
        <v>Assens</v>
      </c>
      <c r="Q27" s="193" t="str">
        <f t="shared" ca="1" si="23"/>
        <v>Bogense</v>
      </c>
      <c r="R27" s="194">
        <v>43834</v>
      </c>
      <c r="S27" s="195" t="s">
        <v>33</v>
      </c>
      <c r="T27" s="196">
        <v>1</v>
      </c>
      <c r="U27" s="197">
        <v>1</v>
      </c>
      <c r="V27" s="198">
        <v>4</v>
      </c>
      <c r="W27" s="199">
        <f t="shared" si="24"/>
        <v>0</v>
      </c>
      <c r="X27" s="199">
        <f t="shared" si="25"/>
        <v>3</v>
      </c>
    </row>
    <row r="28" spans="1:24" ht="18" thickBot="1" x14ac:dyDescent="0.4">
      <c r="A28" s="13"/>
      <c r="B28" s="14"/>
      <c r="C28" s="63" t="s">
        <v>85</v>
      </c>
      <c r="D28" s="62">
        <f t="shared" si="26"/>
        <v>0</v>
      </c>
      <c r="E28" s="63">
        <v>10</v>
      </c>
      <c r="F28" s="51">
        <f t="shared" si="19"/>
        <v>6</v>
      </c>
      <c r="G28" s="51">
        <f t="shared" si="20"/>
        <v>5</v>
      </c>
      <c r="H28" s="64" t="str">
        <f t="shared" si="21"/>
        <v>T_04</v>
      </c>
      <c r="I28" s="64" t="str">
        <f t="shared" si="22"/>
        <v>T_05</v>
      </c>
      <c r="J28" s="64">
        <v>3</v>
      </c>
      <c r="K28" s="65">
        <f t="shared" si="27"/>
        <v>43835</v>
      </c>
      <c r="L28" s="71"/>
      <c r="O28" s="200">
        <v>10</v>
      </c>
      <c r="P28" s="200" t="str">
        <f t="shared" ca="1" si="23"/>
        <v>Dragør</v>
      </c>
      <c r="Q28" s="200" t="str">
        <f t="shared" ca="1" si="23"/>
        <v>Ejby</v>
      </c>
      <c r="R28" s="201">
        <v>43835</v>
      </c>
      <c r="S28" s="202" t="str">
        <f>IFERROR(S27+mMin,"-")</f>
        <v>-</v>
      </c>
      <c r="T28" s="203">
        <v>2</v>
      </c>
      <c r="U28" s="204">
        <v>4</v>
      </c>
      <c r="V28" s="205">
        <v>2</v>
      </c>
      <c r="W28" s="206">
        <f t="shared" si="24"/>
        <v>3</v>
      </c>
      <c r="X28" s="206">
        <f t="shared" si="25"/>
        <v>0</v>
      </c>
    </row>
    <row r="29" spans="1:24" ht="18.600000000000001" thickTop="1" thickBot="1" x14ac:dyDescent="0.4">
      <c r="H29" s="19" t="s">
        <v>34</v>
      </c>
      <c r="I29" s="19" t="s">
        <v>35</v>
      </c>
      <c r="J29" s="15"/>
      <c r="K29" s="17"/>
      <c r="L29" s="71"/>
      <c r="P29" s="92"/>
      <c r="Q29" s="92"/>
      <c r="R29" s="92"/>
      <c r="S29" s="5"/>
      <c r="T29" s="5"/>
      <c r="U29" s="16"/>
      <c r="V29" s="185"/>
    </row>
    <row r="30" spans="1:24" ht="18" thickBot="1" x14ac:dyDescent="0.4">
      <c r="H30" s="20" t="str">
        <f>IF(ISNUMBER(U30),IF(U30&gt;V30,P30,Q30),"")</f>
        <v/>
      </c>
      <c r="I30" s="20" t="str">
        <f>IF(ISNUMBER(U30),IF(H30=P30,Q30,P30),"")</f>
        <v/>
      </c>
      <c r="J30" s="15">
        <v>10</v>
      </c>
      <c r="K30" s="17">
        <f t="shared" si="27"/>
        <v>43842</v>
      </c>
      <c r="L30" s="71"/>
      <c r="O30" s="89" t="s">
        <v>64</v>
      </c>
      <c r="P30" s="90"/>
      <c r="Q30" s="90"/>
      <c r="R30" s="174">
        <v>41660</v>
      </c>
      <c r="S30" s="175">
        <v>0.54166666666666663</v>
      </c>
      <c r="T30" s="176">
        <v>2</v>
      </c>
      <c r="U30" s="177"/>
      <c r="V30" s="178"/>
      <c r="W30" s="21" t="str">
        <f t="shared" ref="W30" si="28">IF(ISNUMBER(U30)*ISNUMBER(V30),IF(U30&gt;V30,ptv, IF(U30=V30,ptu,ptt)),"-")</f>
        <v>-</v>
      </c>
      <c r="X30" s="21" t="str">
        <f t="shared" ref="X30" si="29">IF(ISNUMBER(U30)*ISNUMBER(V30),IF(W30=ptv,ptt,IF(W30=ptu,ptu,ptv)),"-")</f>
        <v>-</v>
      </c>
    </row>
    <row r="31" spans="1:24" ht="15" thickBot="1" x14ac:dyDescent="0.25">
      <c r="H31" s="19" t="s">
        <v>36</v>
      </c>
      <c r="I31" s="19" t="s">
        <v>37</v>
      </c>
      <c r="J31" s="15"/>
      <c r="K31" s="17"/>
      <c r="L31" s="71"/>
      <c r="P31" s="92"/>
      <c r="Q31" s="92"/>
      <c r="R31" s="92"/>
      <c r="S31" s="5"/>
      <c r="T31" s="5"/>
      <c r="U31" s="5"/>
      <c r="V31" s="94"/>
    </row>
    <row r="32" spans="1:24" ht="18" thickBot="1" x14ac:dyDescent="0.4">
      <c r="H32" s="20" t="str">
        <f>IF(ISNUMBER(U32),IF(U32&gt;V32,P32,Q32),"")</f>
        <v/>
      </c>
      <c r="I32" s="20" t="str">
        <f>IF(ISNUMBER(U32),IF(H32=P32,Q32,P32),"")</f>
        <v/>
      </c>
      <c r="J32" s="15">
        <v>11</v>
      </c>
      <c r="K32" s="17">
        <f t="shared" si="27"/>
        <v>43843</v>
      </c>
      <c r="L32" s="71"/>
      <c r="O32" s="88" t="s">
        <v>175</v>
      </c>
      <c r="P32" s="90"/>
      <c r="Q32" s="90"/>
      <c r="R32" s="174">
        <v>41661</v>
      </c>
      <c r="S32" s="175">
        <v>0.54166666666666663</v>
      </c>
      <c r="T32" s="176">
        <v>2</v>
      </c>
      <c r="U32" s="177"/>
      <c r="V32" s="178"/>
      <c r="W32" s="21" t="str">
        <f t="shared" ref="W32" si="30">IF(ISNUMBER(U32)*ISNUMBER(V32),IF(U32&gt;V32,ptv, IF(U32=V32,ptu,ptt)),"-")</f>
        <v>-</v>
      </c>
      <c r="X32" s="21" t="str">
        <f t="shared" ref="X32" si="31">IF(ISNUMBER(U32)*ISNUMBER(V32),IF(W32=ptv,ptt,IF(W32=ptu,ptu,ptv)),"-")</f>
        <v>-</v>
      </c>
    </row>
    <row r="33" spans="12:12" ht="14.4" x14ac:dyDescent="0.2">
      <c r="L33" s="71"/>
    </row>
  </sheetData>
  <sheetProtection sheet="1" objects="1" scenarios="1"/>
  <conditionalFormatting sqref="D20:D21">
    <cfRule type="expression" dxfId="74" priority="4">
      <formula>D20=1</formula>
    </cfRule>
  </conditionalFormatting>
  <conditionalFormatting sqref="D22:D28">
    <cfRule type="expression" dxfId="73" priority="3">
      <formula>D22=1</formula>
    </cfRule>
  </conditionalFormatting>
  <conditionalFormatting sqref="B12:F16">
    <cfRule type="duplicateValues" dxfId="72" priority="5"/>
    <cfRule type="expression" dxfId="71" priority="6">
      <formula>AND(B12&lt;=$E$9,ISNUMBER(B12))</formula>
    </cfRule>
  </conditionalFormatting>
  <conditionalFormatting sqref="L3:L7">
    <cfRule type="duplicateValues" dxfId="70" priority="71"/>
  </conditionalFormatting>
  <conditionalFormatting sqref="M3:M7">
    <cfRule type="duplicateValues" dxfId="69" priority="72"/>
  </conditionalFormatting>
  <dataValidations count="1">
    <dataValidation type="list" allowBlank="1" showInputMessage="1" showErrorMessage="1" sqref="P30:Q30 P32:Q32" xr:uid="{CDBEAFE2-5051-44E5-A663-2E94D75BAB12}">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497</vt:i4>
      </vt:variant>
    </vt:vector>
  </HeadingPairs>
  <TitlesOfParts>
    <vt:vector size="517" baseType="lpstr">
      <vt:lpstr>Tips</vt:lpstr>
      <vt:lpstr>Indstillinger</vt:lpstr>
      <vt:lpstr>Licens</vt:lpstr>
      <vt:lpstr>03x2</vt:lpstr>
      <vt:lpstr>04x1</vt:lpstr>
      <vt:lpstr>04x2</vt:lpstr>
      <vt:lpstr>04x3</vt:lpstr>
      <vt:lpstr>04x4</vt:lpstr>
      <vt:lpstr>05x1</vt:lpstr>
      <vt:lpstr>05x2</vt:lpstr>
      <vt:lpstr>06x1</vt:lpstr>
      <vt:lpstr>06x2</vt:lpstr>
      <vt:lpstr>07x1</vt:lpstr>
      <vt:lpstr>07x2</vt:lpstr>
      <vt:lpstr>08x1</vt:lpstr>
      <vt:lpstr>08x2</vt:lpstr>
      <vt:lpstr>09x1</vt:lpstr>
      <vt:lpstr>09x2</vt:lpstr>
      <vt:lpstr>10x1</vt:lpstr>
      <vt:lpstr>10x2</vt:lpstr>
      <vt:lpstr>'03x2'!actRank</vt:lpstr>
      <vt:lpstr>'04x1'!actRank</vt:lpstr>
      <vt:lpstr>'04x2'!actRank</vt:lpstr>
      <vt:lpstr>'04x3'!actRank</vt:lpstr>
      <vt:lpstr>'04x4'!actRank</vt:lpstr>
      <vt:lpstr>'05x1'!actRank</vt:lpstr>
      <vt:lpstr>'05x2'!actRank</vt:lpstr>
      <vt:lpstr>'06x1'!actRank</vt:lpstr>
      <vt:lpstr>'06x2'!actRank</vt:lpstr>
      <vt:lpstr>'07x1'!actRank</vt:lpstr>
      <vt:lpstr>'07x2'!actRank</vt:lpstr>
      <vt:lpstr>'08x1'!actRank</vt:lpstr>
      <vt:lpstr>'08x2'!actRank</vt:lpstr>
      <vt:lpstr>'09x1'!actRank</vt:lpstr>
      <vt:lpstr>'09x2'!actRank</vt:lpstr>
      <vt:lpstr>'10x1'!actRank</vt:lpstr>
      <vt:lpstr>'10x2'!actRank</vt:lpstr>
      <vt:lpstr>'03x2'!goals1</vt:lpstr>
      <vt:lpstr>'04x1'!goals1</vt:lpstr>
      <vt:lpstr>'04x2'!goals1</vt:lpstr>
      <vt:lpstr>'04x3'!goals1</vt:lpstr>
      <vt:lpstr>'04x4'!goals1</vt:lpstr>
      <vt:lpstr>'05x1'!goals1</vt:lpstr>
      <vt:lpstr>'05x2'!goals1</vt:lpstr>
      <vt:lpstr>'06x1'!goals1</vt:lpstr>
      <vt:lpstr>'06x2'!goals1</vt:lpstr>
      <vt:lpstr>'07x1'!goals1</vt:lpstr>
      <vt:lpstr>'07x2'!goals1</vt:lpstr>
      <vt:lpstr>'08x1'!goals1</vt:lpstr>
      <vt:lpstr>'08x2'!goals1</vt:lpstr>
      <vt:lpstr>'09x1'!goals1</vt:lpstr>
      <vt:lpstr>'09x2'!goals1</vt:lpstr>
      <vt:lpstr>'10x1'!goals1</vt:lpstr>
      <vt:lpstr>'10x2'!goals1</vt:lpstr>
      <vt:lpstr>'03x2'!goals2</vt:lpstr>
      <vt:lpstr>'04x1'!goals2</vt:lpstr>
      <vt:lpstr>'04x2'!goals2</vt:lpstr>
      <vt:lpstr>'04x3'!goals2</vt:lpstr>
      <vt:lpstr>'04x4'!goals2</vt:lpstr>
      <vt:lpstr>'05x1'!goals2</vt:lpstr>
      <vt:lpstr>'05x2'!goals2</vt:lpstr>
      <vt:lpstr>'06x1'!goals2</vt:lpstr>
      <vt:lpstr>'06x2'!goals2</vt:lpstr>
      <vt:lpstr>'07x1'!goals2</vt:lpstr>
      <vt:lpstr>'07x2'!goals2</vt:lpstr>
      <vt:lpstr>'08x1'!goals2</vt:lpstr>
      <vt:lpstr>'08x2'!goals2</vt:lpstr>
      <vt:lpstr>'09x1'!goals2</vt:lpstr>
      <vt:lpstr>'09x2'!goals2</vt:lpstr>
      <vt:lpstr>'10x1'!goals2</vt:lpstr>
      <vt:lpstr>'10x2'!goals2</vt:lpstr>
      <vt:lpstr>'03x2'!HxA</vt:lpstr>
      <vt:lpstr>'04x1'!HxA</vt:lpstr>
      <vt:lpstr>'04x2'!HxA</vt:lpstr>
      <vt:lpstr>'04x3'!HxA</vt:lpstr>
      <vt:lpstr>'04x4'!HxA</vt:lpstr>
      <vt:lpstr>'05x1'!HxA</vt:lpstr>
      <vt:lpstr>'05x2'!HxA</vt:lpstr>
      <vt:lpstr>'06x1'!HxA</vt:lpstr>
      <vt:lpstr>'06x2'!HxA</vt:lpstr>
      <vt:lpstr>'07x1'!HxA</vt:lpstr>
      <vt:lpstr>'07x2'!HxA</vt:lpstr>
      <vt:lpstr>'08x1'!HxA</vt:lpstr>
      <vt:lpstr>'08x2'!HxA</vt:lpstr>
      <vt:lpstr>'09x1'!HxA</vt:lpstr>
      <vt:lpstr>'09x2'!HxA</vt:lpstr>
      <vt:lpstr>'10x1'!HxA</vt:lpstr>
      <vt:lpstr>'10x2'!HxA</vt:lpstr>
      <vt:lpstr>'03x2'!HxH</vt:lpstr>
      <vt:lpstr>'04x1'!HxH</vt:lpstr>
      <vt:lpstr>'04x2'!HxH</vt:lpstr>
      <vt:lpstr>'04x3'!HxH</vt:lpstr>
      <vt:lpstr>'04x4'!HxH</vt:lpstr>
      <vt:lpstr>'05x1'!HxH</vt:lpstr>
      <vt:lpstr>'05x2'!HxH</vt:lpstr>
      <vt:lpstr>'06x1'!HxH</vt:lpstr>
      <vt:lpstr>'06x2'!HxH</vt:lpstr>
      <vt:lpstr>'07x1'!HxH</vt:lpstr>
      <vt:lpstr>'07x2'!HxH</vt:lpstr>
      <vt:lpstr>'08x1'!HxH</vt:lpstr>
      <vt:lpstr>'08x2'!HxH</vt:lpstr>
      <vt:lpstr>'09x1'!HxH</vt:lpstr>
      <vt:lpstr>'09x2'!HxH</vt:lpstr>
      <vt:lpstr>'10x1'!HxH</vt:lpstr>
      <vt:lpstr>'10x2'!HxH</vt:lpstr>
      <vt:lpstr>'03x2'!iDato</vt:lpstr>
      <vt:lpstr>'04x1'!iDato</vt:lpstr>
      <vt:lpstr>'04x2'!iDato</vt:lpstr>
      <vt:lpstr>'04x3'!iDato</vt:lpstr>
      <vt:lpstr>'04x4'!iDato</vt:lpstr>
      <vt:lpstr>'05x1'!iDato</vt:lpstr>
      <vt:lpstr>'05x2'!iDato</vt:lpstr>
      <vt:lpstr>'06x1'!iDato</vt:lpstr>
      <vt:lpstr>'06x2'!iDato</vt:lpstr>
      <vt:lpstr>'07x1'!iDato</vt:lpstr>
      <vt:lpstr>'07x2'!iDato</vt:lpstr>
      <vt:lpstr>'08x1'!iDato</vt:lpstr>
      <vt:lpstr>'08x2'!iDato</vt:lpstr>
      <vt:lpstr>'09x1'!iDato</vt:lpstr>
      <vt:lpstr>'09x2'!iDato</vt:lpstr>
      <vt:lpstr>'10x1'!iDato</vt:lpstr>
      <vt:lpstr>'10x2'!iDato</vt:lpstr>
      <vt:lpstr>'07x1'!iMatch</vt:lpstr>
      <vt:lpstr>'07x2'!iMatch</vt:lpstr>
      <vt:lpstr>'08x1'!iMatch</vt:lpstr>
      <vt:lpstr>'08x2'!iMatch</vt:lpstr>
      <vt:lpstr>'09x1'!iMatch</vt:lpstr>
      <vt:lpstr>'09x2'!iMatch</vt:lpstr>
      <vt:lpstr>'10x1'!iMatch</vt:lpstr>
      <vt:lpstr>'10x2'!iMatch</vt:lpstr>
      <vt:lpstr>mMin</vt:lpstr>
      <vt:lpstr>'03x2'!PlaceCalc</vt:lpstr>
      <vt:lpstr>'04x1'!PlaceCalc</vt:lpstr>
      <vt:lpstr>'04x2'!PlaceCalc</vt:lpstr>
      <vt:lpstr>'04x3'!PlaceCalc</vt:lpstr>
      <vt:lpstr>'04x4'!PlaceCalc</vt:lpstr>
      <vt:lpstr>'05x1'!PlaceCalc</vt:lpstr>
      <vt:lpstr>'05x2'!PlaceCalc</vt:lpstr>
      <vt:lpstr>'06x1'!PlaceCalc</vt:lpstr>
      <vt:lpstr>'06x2'!PlaceCalc</vt:lpstr>
      <vt:lpstr>'07x1'!PlaceCalc</vt:lpstr>
      <vt:lpstr>'07x2'!PlaceCalc</vt:lpstr>
      <vt:lpstr>'08x1'!PlaceCalc</vt:lpstr>
      <vt:lpstr>'08x2'!PlaceCalc</vt:lpstr>
      <vt:lpstr>'09x1'!placeCalc</vt:lpstr>
      <vt:lpstr>'09x2'!placeCalc</vt:lpstr>
      <vt:lpstr>'10x1'!PlaceCalc</vt:lpstr>
      <vt:lpstr>'10x2'!PlaceCalc</vt:lpstr>
      <vt:lpstr>'07x1'!placeView</vt:lpstr>
      <vt:lpstr>'07x2'!placeView</vt:lpstr>
      <vt:lpstr>'08x1'!placeView</vt:lpstr>
      <vt:lpstr>'08x2'!placeView</vt:lpstr>
      <vt:lpstr>'09x1'!placeView</vt:lpstr>
      <vt:lpstr>'09x2'!placeView</vt:lpstr>
      <vt:lpstr>'10x1'!placeView</vt:lpstr>
      <vt:lpstr>'10x2'!placeView</vt:lpstr>
      <vt:lpstr>'03x2'!points1</vt:lpstr>
      <vt:lpstr>'04x1'!points1</vt:lpstr>
      <vt:lpstr>'04x2'!points1</vt:lpstr>
      <vt:lpstr>'04x3'!points1</vt:lpstr>
      <vt:lpstr>'04x4'!points1</vt:lpstr>
      <vt:lpstr>'05x1'!points1</vt:lpstr>
      <vt:lpstr>'05x2'!points1</vt:lpstr>
      <vt:lpstr>'06x1'!points1</vt:lpstr>
      <vt:lpstr>'06x2'!points1</vt:lpstr>
      <vt:lpstr>'07x1'!points1</vt:lpstr>
      <vt:lpstr>'07x2'!points1</vt:lpstr>
      <vt:lpstr>'08x1'!points1</vt:lpstr>
      <vt:lpstr>'08x2'!points1</vt:lpstr>
      <vt:lpstr>'09x1'!points1</vt:lpstr>
      <vt:lpstr>'09x2'!points1</vt:lpstr>
      <vt:lpstr>'10x1'!points1</vt:lpstr>
      <vt:lpstr>'10x2'!points1</vt:lpstr>
      <vt:lpstr>'03x2'!points2</vt:lpstr>
      <vt:lpstr>'04x1'!points2</vt:lpstr>
      <vt:lpstr>'04x2'!points2</vt:lpstr>
      <vt:lpstr>'04x3'!points2</vt:lpstr>
      <vt:lpstr>'04x4'!points2</vt:lpstr>
      <vt:lpstr>'05x1'!points2</vt:lpstr>
      <vt:lpstr>'05x2'!points2</vt:lpstr>
      <vt:lpstr>'06x1'!points2</vt:lpstr>
      <vt:lpstr>'06x2'!points2</vt:lpstr>
      <vt:lpstr>'07x1'!points2</vt:lpstr>
      <vt:lpstr>'07x2'!points2</vt:lpstr>
      <vt:lpstr>'08x1'!points2</vt:lpstr>
      <vt:lpstr>'08x2'!points2</vt:lpstr>
      <vt:lpstr>'09x1'!points2</vt:lpstr>
      <vt:lpstr>'09x2'!points2</vt:lpstr>
      <vt:lpstr>'10x1'!points2</vt:lpstr>
      <vt:lpstr>'10x2'!points2</vt:lpstr>
      <vt:lpstr>'03x2'!pointsTotal</vt:lpstr>
      <vt:lpstr>'04x1'!pointsTotal</vt:lpstr>
      <vt:lpstr>'04x2'!pointsTotal</vt:lpstr>
      <vt:lpstr>'04x3'!pointsTotal</vt:lpstr>
      <vt:lpstr>'04x4'!pointsTotal</vt:lpstr>
      <vt:lpstr>'05x1'!pointsTotal</vt:lpstr>
      <vt:lpstr>'05x2'!pointsTotal</vt:lpstr>
      <vt:lpstr>'06x1'!pointsTotal</vt:lpstr>
      <vt:lpstr>'06x2'!pointsTotal</vt:lpstr>
      <vt:lpstr>'07x1'!pointsTotal</vt:lpstr>
      <vt:lpstr>'07x2'!pointsTotal</vt:lpstr>
      <vt:lpstr>'08x1'!pointsTotal</vt:lpstr>
      <vt:lpstr>'08x2'!pointsTotal</vt:lpstr>
      <vt:lpstr>'09x1'!pointsTotal</vt:lpstr>
      <vt:lpstr>'09x2'!pointsTotal</vt:lpstr>
      <vt:lpstr>'10x2'!pointsTotal</vt:lpstr>
      <vt:lpstr>ptt</vt:lpstr>
      <vt:lpstr>ptu</vt:lpstr>
      <vt:lpstr>ptv</vt:lpstr>
      <vt:lpstr>'03x2'!rankNum</vt:lpstr>
      <vt:lpstr>'04x1'!rankNum</vt:lpstr>
      <vt:lpstr>'04x2'!rankNum</vt:lpstr>
      <vt:lpstr>'04x3'!rankNum</vt:lpstr>
      <vt:lpstr>'04x4'!rankNum</vt:lpstr>
      <vt:lpstr>'05x1'!rankNum</vt:lpstr>
      <vt:lpstr>'05x2'!rankNum</vt:lpstr>
      <vt:lpstr>'06x1'!rankNum</vt:lpstr>
      <vt:lpstr>'06x2'!rankNum</vt:lpstr>
      <vt:lpstr>'09x1'!rankNum</vt:lpstr>
      <vt:lpstr>'09x2'!rankNum</vt:lpstr>
      <vt:lpstr>'03x2'!T_01</vt:lpstr>
      <vt:lpstr>'04x1'!T_01</vt:lpstr>
      <vt:lpstr>'04x2'!T_01</vt:lpstr>
      <vt:lpstr>'04x3'!T_01</vt:lpstr>
      <vt:lpstr>'04x4'!T_01</vt:lpstr>
      <vt:lpstr>'05x1'!T_01</vt:lpstr>
      <vt:lpstr>'05x2'!T_01</vt:lpstr>
      <vt:lpstr>'06x1'!T_01</vt:lpstr>
      <vt:lpstr>'06x2'!T_01</vt:lpstr>
      <vt:lpstr>'07x1'!T_01</vt:lpstr>
      <vt:lpstr>'07x2'!T_01</vt:lpstr>
      <vt:lpstr>'08x1'!T_01</vt:lpstr>
      <vt:lpstr>'08x2'!T_01</vt:lpstr>
      <vt:lpstr>'09x1'!T_01</vt:lpstr>
      <vt:lpstr>'09x2'!T_01</vt:lpstr>
      <vt:lpstr>'10x1'!T_01</vt:lpstr>
      <vt:lpstr>'10x2'!T_01</vt:lpstr>
      <vt:lpstr>'03x2'!T_02</vt:lpstr>
      <vt:lpstr>'04x1'!T_02</vt:lpstr>
      <vt:lpstr>'04x2'!T_02</vt:lpstr>
      <vt:lpstr>'04x3'!T_02</vt:lpstr>
      <vt:lpstr>'04x4'!T_02</vt:lpstr>
      <vt:lpstr>'05x1'!T_02</vt:lpstr>
      <vt:lpstr>'05x2'!T_02</vt:lpstr>
      <vt:lpstr>'06x1'!T_02</vt:lpstr>
      <vt:lpstr>'06x2'!T_02</vt:lpstr>
      <vt:lpstr>'07x1'!T_02</vt:lpstr>
      <vt:lpstr>'07x2'!T_02</vt:lpstr>
      <vt:lpstr>'08x1'!T_02</vt:lpstr>
      <vt:lpstr>'08x2'!T_02</vt:lpstr>
      <vt:lpstr>'09x1'!T_02</vt:lpstr>
      <vt:lpstr>'09x2'!T_02</vt:lpstr>
      <vt:lpstr>'10x1'!T_02</vt:lpstr>
      <vt:lpstr>'10x2'!T_02</vt:lpstr>
      <vt:lpstr>'03x2'!T_03</vt:lpstr>
      <vt:lpstr>'04x1'!T_03</vt:lpstr>
      <vt:lpstr>'04x2'!T_03</vt:lpstr>
      <vt:lpstr>'04x3'!T_03</vt:lpstr>
      <vt:lpstr>'04x4'!T_03</vt:lpstr>
      <vt:lpstr>'05x1'!T_03</vt:lpstr>
      <vt:lpstr>'05x2'!T_03</vt:lpstr>
      <vt:lpstr>'06x1'!T_03</vt:lpstr>
      <vt:lpstr>'06x2'!T_03</vt:lpstr>
      <vt:lpstr>'07x1'!T_03</vt:lpstr>
      <vt:lpstr>'07x2'!T_03</vt:lpstr>
      <vt:lpstr>'08x1'!T_03</vt:lpstr>
      <vt:lpstr>'08x2'!T_03</vt:lpstr>
      <vt:lpstr>'09x1'!T_03</vt:lpstr>
      <vt:lpstr>'09x2'!T_03</vt:lpstr>
      <vt:lpstr>'10x1'!T_03</vt:lpstr>
      <vt:lpstr>'10x2'!T_03</vt:lpstr>
      <vt:lpstr>'04x1'!T_04</vt:lpstr>
      <vt:lpstr>'04x2'!T_04</vt:lpstr>
      <vt:lpstr>'04x3'!T_04</vt:lpstr>
      <vt:lpstr>'04x4'!T_04</vt:lpstr>
      <vt:lpstr>'05x1'!T_04</vt:lpstr>
      <vt:lpstr>'05x2'!T_04</vt:lpstr>
      <vt:lpstr>'06x1'!T_04</vt:lpstr>
      <vt:lpstr>'06x2'!T_04</vt:lpstr>
      <vt:lpstr>'07x1'!T_04</vt:lpstr>
      <vt:lpstr>'07x2'!T_04</vt:lpstr>
      <vt:lpstr>'08x1'!T_04</vt:lpstr>
      <vt:lpstr>'08x2'!T_04</vt:lpstr>
      <vt:lpstr>'09x1'!T_04</vt:lpstr>
      <vt:lpstr>'09x2'!T_04</vt:lpstr>
      <vt:lpstr>'10x1'!T_04</vt:lpstr>
      <vt:lpstr>'10x2'!T_04</vt:lpstr>
      <vt:lpstr>'05x1'!T_05</vt:lpstr>
      <vt:lpstr>'05x2'!T_05</vt:lpstr>
      <vt:lpstr>'06x1'!T_05</vt:lpstr>
      <vt:lpstr>'06x2'!T_05</vt:lpstr>
      <vt:lpstr>'07x1'!T_05</vt:lpstr>
      <vt:lpstr>'07x2'!T_05</vt:lpstr>
      <vt:lpstr>'08x1'!T_05</vt:lpstr>
      <vt:lpstr>'08x2'!T_05</vt:lpstr>
      <vt:lpstr>'09x1'!T_05</vt:lpstr>
      <vt:lpstr>'09x2'!T_05</vt:lpstr>
      <vt:lpstr>'10x1'!T_05</vt:lpstr>
      <vt:lpstr>'10x2'!T_05</vt:lpstr>
      <vt:lpstr>'06x1'!T_06</vt:lpstr>
      <vt:lpstr>'06x2'!T_06</vt:lpstr>
      <vt:lpstr>'07x1'!T_06</vt:lpstr>
      <vt:lpstr>'07x2'!T_06</vt:lpstr>
      <vt:lpstr>'08x1'!T_06</vt:lpstr>
      <vt:lpstr>'08x2'!T_06</vt:lpstr>
      <vt:lpstr>'09x1'!T_06</vt:lpstr>
      <vt:lpstr>'09x2'!T_06</vt:lpstr>
      <vt:lpstr>'10x1'!T_06</vt:lpstr>
      <vt:lpstr>'10x2'!T_06</vt:lpstr>
      <vt:lpstr>'07x1'!T_07</vt:lpstr>
      <vt:lpstr>'07x2'!T_07</vt:lpstr>
      <vt:lpstr>'08x1'!T_07</vt:lpstr>
      <vt:lpstr>'08x2'!T_07</vt:lpstr>
      <vt:lpstr>'09x1'!T_07</vt:lpstr>
      <vt:lpstr>'09x2'!T_07</vt:lpstr>
      <vt:lpstr>'10x1'!T_07</vt:lpstr>
      <vt:lpstr>'10x2'!T_07</vt:lpstr>
      <vt:lpstr>'08x1'!T_08</vt:lpstr>
      <vt:lpstr>'08x2'!T_08</vt:lpstr>
      <vt:lpstr>'09x1'!T_08</vt:lpstr>
      <vt:lpstr>'09x2'!T_08</vt:lpstr>
      <vt:lpstr>'10x1'!T_08</vt:lpstr>
      <vt:lpstr>'10x2'!T_08</vt:lpstr>
      <vt:lpstr>'09x1'!T_09</vt:lpstr>
      <vt:lpstr>'09x2'!T_09</vt:lpstr>
      <vt:lpstr>'10x1'!T_09</vt:lpstr>
      <vt:lpstr>'10x2'!T_09</vt:lpstr>
      <vt:lpstr>'03x2'!T_1</vt:lpstr>
      <vt:lpstr>'04x1'!T_1</vt:lpstr>
      <vt:lpstr>'04x2'!T_1</vt:lpstr>
      <vt:lpstr>'04x3'!T_1</vt:lpstr>
      <vt:lpstr>'04x4'!T_1</vt:lpstr>
      <vt:lpstr>'05x1'!T_1</vt:lpstr>
      <vt:lpstr>'05x2'!T_1</vt:lpstr>
      <vt:lpstr>'06x1'!T_1</vt:lpstr>
      <vt:lpstr>'06x2'!T_1</vt:lpstr>
      <vt:lpstr>'07x1'!T_1</vt:lpstr>
      <vt:lpstr>'07x2'!T_1</vt:lpstr>
      <vt:lpstr>'08x1'!T_1</vt:lpstr>
      <vt:lpstr>'10x1'!T_10</vt:lpstr>
      <vt:lpstr>'10x2'!T_10</vt:lpstr>
      <vt:lpstr>'03x2'!T_2</vt:lpstr>
      <vt:lpstr>'04x1'!T_2</vt:lpstr>
      <vt:lpstr>'04x2'!T_2</vt:lpstr>
      <vt:lpstr>'04x3'!T_2</vt:lpstr>
      <vt:lpstr>'04x4'!T_2</vt:lpstr>
      <vt:lpstr>'05x1'!T_2</vt:lpstr>
      <vt:lpstr>'05x2'!T_2</vt:lpstr>
      <vt:lpstr>'06x1'!T_2</vt:lpstr>
      <vt:lpstr>'06x2'!T_2</vt:lpstr>
      <vt:lpstr>'07x1'!T_2</vt:lpstr>
      <vt:lpstr>'07x2'!T_2</vt:lpstr>
      <vt:lpstr>'08x1'!T_2</vt:lpstr>
      <vt:lpstr>'03x2'!T_3</vt:lpstr>
      <vt:lpstr>'04x1'!T_3</vt:lpstr>
      <vt:lpstr>'04x2'!T_3</vt:lpstr>
      <vt:lpstr>'04x3'!T_3</vt:lpstr>
      <vt:lpstr>'04x4'!T_3</vt:lpstr>
      <vt:lpstr>'05x1'!T_3</vt:lpstr>
      <vt:lpstr>'05x2'!T_3</vt:lpstr>
      <vt:lpstr>'06x1'!T_3</vt:lpstr>
      <vt:lpstr>'06x2'!T_3</vt:lpstr>
      <vt:lpstr>'07x1'!T_3</vt:lpstr>
      <vt:lpstr>'07x2'!T_3</vt:lpstr>
      <vt:lpstr>'08x1'!T_3</vt:lpstr>
      <vt:lpstr>'04x1'!T_4</vt:lpstr>
      <vt:lpstr>'04x2'!T_4</vt:lpstr>
      <vt:lpstr>'04x3'!T_4</vt:lpstr>
      <vt:lpstr>'04x4'!T_4</vt:lpstr>
      <vt:lpstr>'05x1'!T_4</vt:lpstr>
      <vt:lpstr>'05x2'!T_4</vt:lpstr>
      <vt:lpstr>'06x1'!T_4</vt:lpstr>
      <vt:lpstr>'06x2'!T_4</vt:lpstr>
      <vt:lpstr>'07x1'!T_4</vt:lpstr>
      <vt:lpstr>'07x2'!T_4</vt:lpstr>
      <vt:lpstr>'08x1'!T_4</vt:lpstr>
      <vt:lpstr>'05x1'!T_5</vt:lpstr>
      <vt:lpstr>'05x2'!T_5</vt:lpstr>
      <vt:lpstr>'06x1'!T_5</vt:lpstr>
      <vt:lpstr>'06x2'!T_5</vt:lpstr>
      <vt:lpstr>'07x1'!T_5</vt:lpstr>
      <vt:lpstr>'07x2'!T_5</vt:lpstr>
      <vt:lpstr>'08x1'!T_5</vt:lpstr>
      <vt:lpstr>'06x1'!T_6</vt:lpstr>
      <vt:lpstr>'06x2'!T_6</vt:lpstr>
      <vt:lpstr>'07x1'!T_6</vt:lpstr>
      <vt:lpstr>'07x2'!T_6</vt:lpstr>
      <vt:lpstr>'08x1'!T_6</vt:lpstr>
      <vt:lpstr>'07x1'!T_7</vt:lpstr>
      <vt:lpstr>'07x2'!T_7</vt:lpstr>
      <vt:lpstr>'08x1'!T_7</vt:lpstr>
      <vt:lpstr>'08x1'!T_8</vt:lpstr>
      <vt:lpstr>'03x2'!team1</vt:lpstr>
      <vt:lpstr>'04x1'!team1</vt:lpstr>
      <vt:lpstr>'04x2'!team1</vt:lpstr>
      <vt:lpstr>'04x3'!team1</vt:lpstr>
      <vt:lpstr>'04x4'!team1</vt:lpstr>
      <vt:lpstr>'05x1'!team1</vt:lpstr>
      <vt:lpstr>'05x2'!team1</vt:lpstr>
      <vt:lpstr>'06x1'!team1</vt:lpstr>
      <vt:lpstr>'06x2'!team1</vt:lpstr>
      <vt:lpstr>'07x1'!team1</vt:lpstr>
      <vt:lpstr>'07x2'!team1</vt:lpstr>
      <vt:lpstr>'08x1'!team1</vt:lpstr>
      <vt:lpstr>'08x2'!team1</vt:lpstr>
      <vt:lpstr>'09x1'!team1</vt:lpstr>
      <vt:lpstr>'09x2'!team1</vt:lpstr>
      <vt:lpstr>'10x1'!team1</vt:lpstr>
      <vt:lpstr>'10x2'!team1</vt:lpstr>
      <vt:lpstr>'07x1'!team1a</vt:lpstr>
      <vt:lpstr>'07x2'!team1a</vt:lpstr>
      <vt:lpstr>'08x1'!team1a</vt:lpstr>
      <vt:lpstr>'08x2'!team1a</vt:lpstr>
      <vt:lpstr>'09x1'!team1a</vt:lpstr>
      <vt:lpstr>'09x2'!team1a</vt:lpstr>
      <vt:lpstr>'10x1'!team1a</vt:lpstr>
      <vt:lpstr>'10x2'!team1a</vt:lpstr>
      <vt:lpstr>'07x2'!team1b</vt:lpstr>
      <vt:lpstr>'08x2'!team1b</vt:lpstr>
      <vt:lpstr>'09x2'!team1b</vt:lpstr>
      <vt:lpstr>'10x2'!team1b</vt:lpstr>
      <vt:lpstr>'03x2'!team2</vt:lpstr>
      <vt:lpstr>'04x1'!team2</vt:lpstr>
      <vt:lpstr>'04x2'!team2</vt:lpstr>
      <vt:lpstr>'04x3'!team2</vt:lpstr>
      <vt:lpstr>'04x4'!team2</vt:lpstr>
      <vt:lpstr>'05x1'!team2</vt:lpstr>
      <vt:lpstr>'05x2'!team2</vt:lpstr>
      <vt:lpstr>'06x1'!team2</vt:lpstr>
      <vt:lpstr>'06x2'!team2</vt:lpstr>
      <vt:lpstr>'07x1'!team2</vt:lpstr>
      <vt:lpstr>'07x2'!team2</vt:lpstr>
      <vt:lpstr>'08x1'!team2</vt:lpstr>
      <vt:lpstr>'08x2'!team2</vt:lpstr>
      <vt:lpstr>'09x1'!team2</vt:lpstr>
      <vt:lpstr>'09x2'!team2</vt:lpstr>
      <vt:lpstr>'10x1'!team2</vt:lpstr>
      <vt:lpstr>'10x2'!team2</vt:lpstr>
      <vt:lpstr>'07x1'!team2a</vt:lpstr>
      <vt:lpstr>'07x2'!team2a</vt:lpstr>
      <vt:lpstr>'08x1'!team2a</vt:lpstr>
      <vt:lpstr>'08x2'!team2a</vt:lpstr>
      <vt:lpstr>'09x1'!team2a</vt:lpstr>
      <vt:lpstr>'09x2'!team2a</vt:lpstr>
      <vt:lpstr>'10x1'!team2a</vt:lpstr>
      <vt:lpstr>'10x2'!team2a</vt:lpstr>
      <vt:lpstr>'07x2'!team2b</vt:lpstr>
      <vt:lpstr>'08x2'!team2b</vt:lpstr>
      <vt:lpstr>'09x2'!team2b</vt:lpstr>
      <vt:lpstr>'10x2'!team2b</vt:lpstr>
      <vt:lpstr>'03x2'!teamName</vt:lpstr>
      <vt:lpstr>'04x1'!teamName</vt:lpstr>
      <vt:lpstr>'04x2'!teamName</vt:lpstr>
      <vt:lpstr>'04x3'!teamName</vt:lpstr>
      <vt:lpstr>'04x4'!teamName</vt:lpstr>
      <vt:lpstr>'05x1'!teamName</vt:lpstr>
      <vt:lpstr>'05x2'!teamName</vt:lpstr>
      <vt:lpstr>'06x1'!teamName</vt:lpstr>
      <vt:lpstr>'06x2'!teamName</vt:lpstr>
      <vt:lpstr>'07x1'!teamName</vt:lpstr>
      <vt:lpstr>'07x2'!teamName</vt:lpstr>
      <vt:lpstr>'08x1'!teamName</vt:lpstr>
      <vt:lpstr>'08x2'!teamName</vt:lpstr>
      <vt:lpstr>'09x1'!teamName</vt:lpstr>
      <vt:lpstr>'09x2'!teamName</vt:lpstr>
      <vt:lpstr>'10x1'!teamName</vt:lpstr>
      <vt:lpstr>'10x2'!teamName</vt:lpstr>
      <vt:lpstr>'07x1'!teamNum</vt:lpstr>
      <vt:lpstr>'07x2'!teamNum</vt:lpstr>
      <vt:lpstr>'08x1'!teamNum</vt:lpstr>
      <vt:lpstr>'08x2'!teamNum</vt:lpstr>
      <vt:lpstr>'09x1'!teamNum</vt:lpstr>
      <vt:lpstr>'10x1'!teamNum</vt:lpstr>
      <vt:lpstr>'10x2'!teamNum</vt:lpstr>
      <vt:lpstr>'03x2'!teams</vt:lpstr>
      <vt:lpstr>'04x1'!teams</vt:lpstr>
      <vt:lpstr>'04x2'!teams</vt:lpstr>
      <vt:lpstr>'04x3'!teams</vt:lpstr>
      <vt:lpstr>'04x4'!teams</vt:lpstr>
      <vt:lpstr>'05x1'!teams</vt:lpstr>
      <vt:lpstr>'05x2'!teams</vt:lpstr>
      <vt:lpstr>'06x1'!teams</vt:lpstr>
      <vt:lpstr>'06x2'!teams</vt:lpstr>
      <vt:lpstr>'07x1'!teams</vt:lpstr>
      <vt:lpstr>'07x2'!teams</vt:lpstr>
      <vt:lpstr>'08x1'!teams</vt:lpstr>
      <vt:lpstr>'08x2'!teams</vt:lpstr>
      <vt:lpstr>'09x1'!teams</vt:lpstr>
      <vt:lpstr>'09x2'!teams</vt:lpstr>
      <vt:lpstr>'10x1'!teams</vt:lpstr>
      <vt:lpstr>'10x2'!teams</vt:lpstr>
      <vt:lpstr>TurneringsNavn</vt:lpstr>
      <vt:lpstr>'03x2'!Udskriftsområde</vt:lpstr>
      <vt:lpstr>'04x1'!Udskriftsområde</vt:lpstr>
      <vt:lpstr>'04x2'!Udskriftsområde</vt:lpstr>
      <vt:lpstr>'04x3'!Udskriftsområde</vt:lpstr>
      <vt:lpstr>'04x4'!Udskriftsområde</vt:lpstr>
      <vt:lpstr>'05x1'!Udskriftsområde</vt:lpstr>
      <vt:lpstr>'05x2'!Udskriftsområde</vt:lpstr>
      <vt:lpstr>'06x1'!Udskriftsområde</vt:lpstr>
      <vt:lpstr>'06x2'!Udskriftsområde</vt:lpstr>
      <vt:lpstr>'07x1'!Udskriftsområde</vt:lpstr>
      <vt:lpstr>'07x2'!Udskriftsområde</vt:lpstr>
      <vt:lpstr>'08x1'!Udskriftsområde</vt:lpstr>
      <vt:lpstr>'08x2'!Udskriftsområde</vt:lpstr>
      <vt:lpstr>'09x1'!Udskriftsområde</vt:lpstr>
      <vt:lpstr>'09x2'!Udskriftsområde</vt:lpstr>
      <vt:lpstr>'10x1'!Udskriftsområde</vt:lpstr>
      <vt:lpstr>'10x2'!Udskriftsområde</vt:lpstr>
      <vt:lpstr>Licens!Udskriftsområde</vt:lpstr>
      <vt:lpstr>Tips!Udskriftsområde</vt:lpstr>
      <vt:lpstr>'08x2'!Udskriftstitler</vt:lpstr>
      <vt:lpstr>'09x1'!Udskriftstitler</vt:lpstr>
      <vt:lpstr>'09x2'!Udskriftstitler</vt:lpstr>
      <vt:lpstr>'10x2'!Udskriftstitler</vt:lpstr>
      <vt:lpstr>Licens!Udskriftstitler</vt:lpstr>
      <vt:lpstr>xTeams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 Elting</dc:creator>
  <cp:lastModifiedBy>Bent Elting</cp:lastModifiedBy>
  <cp:lastPrinted>2019-10-02T18:24:11Z</cp:lastPrinted>
  <dcterms:created xsi:type="dcterms:W3CDTF">2016-02-01T16:36:49Z</dcterms:created>
  <dcterms:modified xsi:type="dcterms:W3CDTF">2020-03-02T15:21:11Z</dcterms:modified>
</cp:coreProperties>
</file>